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8780" windowHeight="13170" activeTab="0"/>
  </bookViews>
  <sheets>
    <sheet name="Bystander_Residents" sheetId="1" r:id="rId1"/>
  </sheets>
  <definedNames>
    <definedName name="_xlnm.Print_Area" localSheetId="0">'Bystander_Residents'!$A$1:$F$107</definedName>
  </definedNames>
  <calcPr fullCalcOnLoad="1"/>
</workbook>
</file>

<file path=xl/sharedStrings.xml><?xml version="1.0" encoding="utf-8"?>
<sst xmlns="http://schemas.openxmlformats.org/spreadsheetml/2006/main" count="232" uniqueCount="114">
  <si>
    <t xml:space="preserve"> Product</t>
  </si>
  <si>
    <t>Field Crops, Tractor Mounted (FCTM)</t>
  </si>
  <si>
    <t>High crops, tractor mounted (HCTM)</t>
  </si>
  <si>
    <t>High crops, hand held (HCHH)</t>
  </si>
  <si>
    <t xml:space="preserve"> Application rate (AR)</t>
  </si>
  <si>
    <t xml:space="preserve"> Systemic AOEL</t>
  </si>
  <si>
    <t xml:space="preserve"> mg/kg bw/d</t>
  </si>
  <si>
    <t>Field crops</t>
  </si>
  <si>
    <t>Fruit crops (early)</t>
  </si>
  <si>
    <t>Fruit crops (late)</t>
  </si>
  <si>
    <t>Hops</t>
  </si>
  <si>
    <t xml:space="preserve"> %</t>
  </si>
  <si>
    <t>mg/kg bw/d</t>
  </si>
  <si>
    <t>Home and allotment garden area (HG)</t>
  </si>
  <si>
    <t>Adults</t>
  </si>
  <si>
    <t>Children</t>
  </si>
  <si>
    <t xml:space="preserve"> Intended uses</t>
  </si>
  <si>
    <t>Grapevine</t>
  </si>
  <si>
    <t>Railway tracks</t>
  </si>
  <si>
    <t>Beds (&lt; 50 cm)</t>
  </si>
  <si>
    <t>Trees late</t>
  </si>
  <si>
    <t>Trees early (&gt; 2 m)</t>
  </si>
  <si>
    <t>Vegetables, ornamentals, berry fruits (&lt; 50 cm)</t>
  </si>
  <si>
    <t>Vegetables, ornamentals, berry fruits (&gt; 50 cm)</t>
  </si>
  <si>
    <t>Grapevine &amp; trees early (&lt;= 2 m), berry fruits &amp; ornamentals early (&gt; 50 cm)</t>
  </si>
  <si>
    <t>Grapevine late, vegetables, berry fruits &amp; ornamentals late (&gt; 50 cm)</t>
  </si>
  <si>
    <t xml:space="preserve"> Active substance (a.s.)</t>
  </si>
  <si>
    <t xml:space="preserve"> kg a.s./ha</t>
  </si>
  <si>
    <t xml:space="preserve"> Number of applications (NA)</t>
  </si>
  <si>
    <t xml:space="preserve"> Dermal absorption (DA)</t>
  </si>
  <si>
    <t xml:space="preserve"> Inhalation absorption (IA)</t>
  </si>
  <si>
    <t xml:space="preserve"> Oral absorption (OA)</t>
  </si>
  <si>
    <t/>
  </si>
  <si>
    <r>
      <t xml:space="preserve"> %</t>
    </r>
    <r>
      <rPr>
        <sz val="9"/>
        <rFont val="Arial"/>
        <family val="2"/>
      </rPr>
      <t xml:space="preserve"> (worst case, e.g. during application)</t>
    </r>
  </si>
  <si>
    <t>ha/d</t>
  </si>
  <si>
    <t xml:space="preserve"> Distance between application and bystander or resident:</t>
  </si>
  <si>
    <r>
      <t xml:space="preserve">       substances, i.e. vapour pressure (20 °C): ≥ 5x10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Pa</t>
    </r>
  </si>
  <si>
    <t xml:space="preserve"> Treated area per day (A)</t>
  </si>
  <si>
    <t xml:space="preserve"> Estimation of bystander and resident exposure (adults and children)</t>
  </si>
  <si>
    <t>1 application</t>
  </si>
  <si>
    <t>2 applications</t>
  </si>
  <si>
    <t>Input parameters considered for the estimation of bystander exposure:</t>
  </si>
  <si>
    <t>Intended use(s):</t>
  </si>
  <si>
    <t>Drift (D):</t>
  </si>
  <si>
    <t>Application rate (AR):</t>
  </si>
  <si>
    <t>Exposed Body Surface Area (BSA):</t>
  </si>
  <si>
    <t>Body weight (BW):</t>
  </si>
  <si>
    <t>Area Treated (A):</t>
  </si>
  <si>
    <t>Absorbed dose:</t>
  </si>
  <si>
    <t xml:space="preserve">mg/kg bw/d </t>
  </si>
  <si>
    <t>% of AOEL:</t>
  </si>
  <si>
    <t>Dermal absorption (DA):</t>
  </si>
  <si>
    <t>Inhalation absorption (IA):</t>
  </si>
  <si>
    <t>kg a.s./ha</t>
  </si>
  <si>
    <t>kg/person (children)</t>
  </si>
  <si>
    <t>%</t>
  </si>
  <si>
    <t>m² (adults)</t>
  </si>
  <si>
    <t>m² (children)</t>
  </si>
  <si>
    <t>min</t>
  </si>
  <si>
    <t>Exposure duration (T):</t>
  </si>
  <si>
    <t>Number of applications (NA):</t>
  </si>
  <si>
    <t>Turf Transferable Residues (TTR):</t>
  </si>
  <si>
    <t>Transfer coefficient (TC):</t>
  </si>
  <si>
    <t>Exposure Duration (H):</t>
  </si>
  <si>
    <t>Inhalation Rate (IR):</t>
  </si>
  <si>
    <t>Saliva Extraction Factor (SE):</t>
  </si>
  <si>
    <t>Surface Area of Hands (SA):</t>
  </si>
  <si>
    <t>Frequency of Hand to Mouth (Freq):</t>
  </si>
  <si>
    <t>Dislodgeable foliar residues (DFR):</t>
  </si>
  <si>
    <t>Ingestion Rate for Mouthing of Grass/Day (IgR):</t>
  </si>
  <si>
    <t>Residents: Oral exposure (hand-to-mouth transfer)</t>
  </si>
  <si>
    <t>Absorbed dose</t>
  </si>
  <si>
    <t>Residents: Oral exposure (object-to-mouth transfer)</t>
  </si>
  <si>
    <t>h</t>
  </si>
  <si>
    <t>Airborne Concentration of Vapour (ACV):</t>
  </si>
  <si>
    <t>events/h</t>
  </si>
  <si>
    <t>Input parameters considered for the estimation of resident exposure:</t>
  </si>
  <si>
    <t>mg/kg a.s. (6 hours, adults)</t>
  </si>
  <si>
    <t>mg/kg a.s. (6 hours, children)</t>
  </si>
  <si>
    <r>
      <t>SDE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= (AR x D x BSA x DA) / BW</t>
    </r>
  </si>
  <si>
    <r>
      <t>SIE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= (I*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x AR x A x T x IA) / BW</t>
    </r>
  </si>
  <si>
    <r>
      <t>Total systemic exposure: SE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= SDE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+ SIE</t>
    </r>
    <r>
      <rPr>
        <vertAlign val="subscript"/>
        <sz val="10"/>
        <rFont val="Times New Roman"/>
        <family val="1"/>
      </rPr>
      <t>B</t>
    </r>
  </si>
  <si>
    <r>
      <t>Total systemic exposure</t>
    </r>
    <r>
      <rPr>
        <sz val="10"/>
        <rFont val="Times New Roman"/>
        <family val="1"/>
      </rPr>
      <t xml:space="preserve"> (absorbed dose)</t>
    </r>
  </si>
  <si>
    <r>
      <t>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/h (children)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</si>
  <si>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/d (adults),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</si>
  <si>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/d (children)</t>
    </r>
  </si>
  <si>
    <r>
      <t>cm</t>
    </r>
    <r>
      <rPr>
        <vertAlign val="superscript"/>
        <sz val="10"/>
        <rFont val="Times New Roman"/>
        <family val="1"/>
      </rPr>
      <t>2</t>
    </r>
  </si>
  <si>
    <r>
      <t>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/d</t>
    </r>
  </si>
  <si>
    <r>
      <t>SDE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 (AR x NA x D x TTR x TC x H x DA) / BW</t>
    </r>
  </si>
  <si>
    <r>
      <t>SIE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 (AC</t>
    </r>
    <r>
      <rPr>
        <vertAlign val="subscript"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x IR x IA) / BW</t>
    </r>
  </si>
  <si>
    <r>
      <t>SOE</t>
    </r>
    <r>
      <rPr>
        <vertAlign val="subscript"/>
        <sz val="10"/>
        <rFont val="Times New Roman"/>
        <family val="1"/>
      </rPr>
      <t>H</t>
    </r>
    <r>
      <rPr>
        <sz val="10"/>
        <rFont val="Times New Roman"/>
        <family val="1"/>
      </rPr>
      <t xml:space="preserve"> = (AR x NA x D x TTR x SE x SA x Freq x H x OA) / BW</t>
    </r>
  </si>
  <si>
    <r>
      <t>SOE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= (AR x NA x D x DFR x IgR x OA) / BW</t>
    </r>
  </si>
  <si>
    <r>
      <t>Total systemic exposure: SE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 SDE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+ SIE</t>
    </r>
    <r>
      <rPr>
        <vertAlign val="subscript"/>
        <sz val="10"/>
        <rFont val="Times New Roman"/>
        <family val="1"/>
      </rPr>
      <t>R</t>
    </r>
  </si>
  <si>
    <r>
      <t>Total systemic exposure: SE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 SDE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+ SIE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+ SOE</t>
    </r>
    <r>
      <rPr>
        <vertAlign val="subscript"/>
        <sz val="10"/>
        <rFont val="Times New Roman"/>
        <family val="1"/>
      </rPr>
      <t>H</t>
    </r>
    <r>
      <rPr>
        <sz val="10"/>
        <rFont val="Times New Roman"/>
        <family val="1"/>
      </rPr>
      <t xml:space="preserve"> + SOE</t>
    </r>
    <r>
      <rPr>
        <vertAlign val="subscript"/>
        <sz val="10"/>
        <rFont val="Times New Roman"/>
        <family val="1"/>
      </rPr>
      <t>O</t>
    </r>
  </si>
  <si>
    <t>AOEL</t>
  </si>
  <si>
    <t>AOEL:</t>
  </si>
  <si>
    <r>
      <t>Specific Inhalation Exposure (I*</t>
    </r>
    <r>
      <rPr>
        <b/>
        <vertAlign val="subscript"/>
        <sz val="10"/>
        <rFont val="Times New Roman"/>
        <family val="1"/>
      </rPr>
      <t>A</t>
    </r>
    <r>
      <rPr>
        <b/>
        <sz val="10"/>
        <rFont val="Times New Roman"/>
        <family val="1"/>
      </rPr>
      <t>)</t>
    </r>
    <r>
      <rPr>
        <b/>
        <sz val="10"/>
        <rFont val="Times New Roman"/>
        <family val="1"/>
      </rPr>
      <t>:</t>
    </r>
  </si>
  <si>
    <t>kg/person (adults)</t>
  </si>
  <si>
    <t xml:space="preserve"> kg/person (adults)</t>
  </si>
  <si>
    <t xml:space="preserve"> kg/person (children)</t>
  </si>
  <si>
    <t xml:space="preserve">     on foliage of at least 50 % can be assumed between two applications (otherwise use multiple application factor).</t>
  </si>
  <si>
    <t>mg/person</t>
  </si>
  <si>
    <t>External exposure</t>
  </si>
  <si>
    <t>Total systemic exposure (absorbed dose)</t>
  </si>
  <si>
    <r>
      <t>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/h (adults)</t>
    </r>
  </si>
  <si>
    <t xml:space="preserve"> 1)</t>
  </si>
  <si>
    <r>
      <t xml:space="preserve"> 1)</t>
    </r>
    <r>
      <rPr>
        <sz val="8"/>
        <rFont val="Arial"/>
        <family val="2"/>
      </rPr>
      <t xml:space="preserve">  Consideration of more than two applications are not necessary if degradation of the active substance </t>
    </r>
  </si>
  <si>
    <r>
      <t>2)</t>
    </r>
    <r>
      <rPr>
        <sz val="8"/>
        <rFont val="Arial"/>
        <family val="2"/>
      </rPr>
      <t xml:space="preserve">  1 µg/m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for semivolatile substances, i.e. vapour pressure (20 °C): ≥ 1x10</t>
    </r>
    <r>
      <rPr>
        <vertAlign val="superscript"/>
        <sz val="8"/>
        <rFont val="Arial"/>
        <family val="2"/>
      </rPr>
      <t>-5</t>
    </r>
    <r>
      <rPr>
        <sz val="8"/>
        <rFont val="Arial"/>
        <family val="2"/>
      </rPr>
      <t xml:space="preserve"> - &lt; 5x10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Pa; 15 µg/m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for volatile </t>
    </r>
  </si>
  <si>
    <r>
      <t xml:space="preserve"> mg/m</t>
    </r>
    <r>
      <rPr>
        <vertAlign val="superscript"/>
        <sz val="10"/>
        <rFont val="Arial"/>
        <family val="2"/>
      </rPr>
      <t>3 2)</t>
    </r>
  </si>
  <si>
    <t xml:space="preserve"> Body weight (BW)</t>
  </si>
  <si>
    <r>
      <t xml:space="preserve"> Airborne vapour concentration (AC</t>
    </r>
    <r>
      <rPr>
        <b/>
        <sz val="8"/>
        <rFont val="Arial"/>
        <family val="2"/>
      </rPr>
      <t>v</t>
    </r>
    <r>
      <rPr>
        <b/>
        <sz val="10"/>
        <rFont val="Arial"/>
        <family val="2"/>
      </rPr>
      <t>)</t>
    </r>
  </si>
  <si>
    <t>Oral absorption (OA)</t>
  </si>
  <si>
    <t>% ('worst case')</t>
  </si>
  <si>
    <t xml:space="preserve">  m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</si>
</sst>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0.000000"/>
    <numFmt numFmtId="183" formatCode="0.0000"/>
    <numFmt numFmtId="184" formatCode="0.00000"/>
    <numFmt numFmtId="185" formatCode="0.0000000"/>
    <numFmt numFmtId="186" formatCode="00000"/>
    <numFmt numFmtId="187" formatCode="0.00000000"/>
    <numFmt numFmtId="188" formatCode="m/d/yy"/>
    <numFmt numFmtId="189" formatCode="[$-407]dddd\,\ d\.\ mmmm\ yyyy"/>
    <numFmt numFmtId="190" formatCode="dd/mm/yy;@"/>
    <numFmt numFmtId="191" formatCode="dd/mm/yy"/>
    <numFmt numFmtId="192" formatCode="General_)"/>
    <numFmt numFmtId="193" formatCode="_-* #,##0.00\ [$€]_-;\-* #,##0.00\ [$€]_-;_-* &quot;-&quot;??\ [$€]_-;_-@_-"/>
    <numFmt numFmtId="194" formatCode="#,##0.00000\ &quot;€&quot;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0.000000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2"/>
      <name val="Anelia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6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2" fontId="4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0" fillId="3" borderId="0" xfId="0" applyNumberFormat="1" applyFill="1" applyAlignment="1" applyProtection="1">
      <alignment vertical="center"/>
      <protection locked="0"/>
    </xf>
    <xf numFmtId="2" fontId="0" fillId="3" borderId="0" xfId="0" applyNumberFormat="1" applyFont="1" applyFill="1" applyAlignment="1" applyProtection="1">
      <alignment vertical="center"/>
      <protection locked="0"/>
    </xf>
    <xf numFmtId="2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0" xfId="0" applyFont="1" applyFill="1" applyAlignment="1" applyProtection="1">
      <alignment horizontal="right"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1" fontId="0" fillId="3" borderId="0" xfId="0" applyNumberFormat="1" applyFill="1" applyAlignment="1" applyProtection="1">
      <alignment horizontal="right" vertical="center"/>
      <protection locked="0"/>
    </xf>
    <xf numFmtId="2" fontId="0" fillId="3" borderId="0" xfId="0" applyNumberFormat="1" applyFill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vertical="center"/>
    </xf>
    <xf numFmtId="1" fontId="0" fillId="2" borderId="0" xfId="0" applyNumberFormat="1" applyFill="1" applyAlignment="1" applyProtection="1">
      <alignment horizontal="right" vertical="center"/>
      <protection locked="0"/>
    </xf>
    <xf numFmtId="2" fontId="0" fillId="2" borderId="0" xfId="0" applyNumberForma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0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vertical="center"/>
    </xf>
    <xf numFmtId="2" fontId="0" fillId="2" borderId="0" xfId="0" applyNumberForma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80" fontId="0" fillId="3" borderId="0" xfId="0" applyNumberFormat="1" applyFill="1" applyAlignment="1" applyProtection="1">
      <alignment vertical="center"/>
      <protection locked="0"/>
    </xf>
    <xf numFmtId="180" fontId="0" fillId="2" borderId="0" xfId="0" applyNumberFormat="1" applyFill="1" applyAlignment="1" applyProtection="1">
      <alignment vertical="center"/>
      <protection locked="0"/>
    </xf>
    <xf numFmtId="0" fontId="6" fillId="4" borderId="1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0" fontId="6" fillId="5" borderId="4" xfId="0" applyFont="1" applyFill="1" applyBorder="1" applyAlignment="1" applyProtection="1">
      <alignment horizontal="right" vertical="center"/>
      <protection locked="0"/>
    </xf>
    <xf numFmtId="0" fontId="6" fillId="5" borderId="4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 applyProtection="1">
      <alignment vertical="center"/>
      <protection locked="0"/>
    </xf>
    <xf numFmtId="0" fontId="6" fillId="6" borderId="4" xfId="0" applyFont="1" applyFill="1" applyBorder="1" applyAlignment="1" applyProtection="1">
      <alignment horizontal="right" vertical="center"/>
      <protection locked="0"/>
    </xf>
    <xf numFmtId="0" fontId="6" fillId="6" borderId="4" xfId="0" applyNumberFormat="1" applyFont="1" applyFill="1" applyBorder="1" applyAlignment="1" applyProtection="1">
      <alignment horizontal="right" vertical="center"/>
      <protection locked="0"/>
    </xf>
    <xf numFmtId="0" fontId="15" fillId="4" borderId="0" xfId="0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/>
    </xf>
    <xf numFmtId="0" fontId="9" fillId="4" borderId="1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0" fillId="7" borderId="0" xfId="0" applyFont="1" applyFill="1" applyBorder="1" applyAlignment="1" applyProtection="1">
      <alignment horizontal="right" vertical="center"/>
      <protection locked="0"/>
    </xf>
    <xf numFmtId="185" fontId="17" fillId="0" borderId="0" xfId="0" applyNumberFormat="1" applyFont="1" applyFill="1" applyBorder="1" applyAlignment="1">
      <alignment horizontal="center" vertical="center"/>
    </xf>
    <xf numFmtId="183" fontId="0" fillId="2" borderId="0" xfId="0" applyNumberFormat="1" applyFill="1" applyAlignment="1" applyProtection="1">
      <alignment vertical="center"/>
      <protection locked="0"/>
    </xf>
    <xf numFmtId="2" fontId="6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 vertical="top" wrapText="1"/>
    </xf>
    <xf numFmtId="2" fontId="21" fillId="0" borderId="0" xfId="0" applyNumberFormat="1" applyFont="1" applyBorder="1" applyAlignment="1">
      <alignment horizontal="left" vertical="top" wrapText="1"/>
    </xf>
    <xf numFmtId="2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lef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22" fillId="0" borderId="6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83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0" fontId="17" fillId="0" borderId="0" xfId="0" applyNumberFormat="1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vertical="top"/>
    </xf>
    <xf numFmtId="0" fontId="9" fillId="4" borderId="3" xfId="0" applyFont="1" applyFill="1" applyBorder="1" applyAlignment="1">
      <alignment vertical="center"/>
    </xf>
    <xf numFmtId="0" fontId="5" fillId="4" borderId="12" xfId="0" applyFont="1" applyFill="1" applyBorder="1" applyAlignment="1">
      <alignment vertical="top"/>
    </xf>
    <xf numFmtId="0" fontId="21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9" fontId="22" fillId="0" borderId="15" xfId="0" applyNumberFormat="1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9" fontId="22" fillId="0" borderId="19" xfId="0" applyNumberFormat="1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8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21" fillId="0" borderId="9" xfId="0" applyFont="1" applyBorder="1" applyAlignment="1">
      <alignment horizontal="left" vertical="center" wrapText="1"/>
    </xf>
    <xf numFmtId="0" fontId="6" fillId="4" borderId="4" xfId="0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 wrapText="1"/>
      <protection locked="0"/>
    </xf>
    <xf numFmtId="2" fontId="6" fillId="4" borderId="0" xfId="0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vertical="center"/>
    </xf>
    <xf numFmtId="0" fontId="22" fillId="0" borderId="8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/>
    </xf>
    <xf numFmtId="0" fontId="0" fillId="4" borderId="2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2" fillId="0" borderId="30" xfId="0" applyFont="1" applyBorder="1" applyAlignment="1">
      <alignment horizontal="right" vertical="center" wrapText="1"/>
    </xf>
    <xf numFmtId="0" fontId="22" fillId="0" borderId="31" xfId="0" applyFont="1" applyBorder="1" applyAlignment="1">
      <alignment horizontal="right" vertical="center" wrapText="1"/>
    </xf>
    <xf numFmtId="0" fontId="22" fillId="0" borderId="4" xfId="0" applyFont="1" applyBorder="1" applyAlignment="1">
      <alignment horizontal="right" vertical="center" wrapText="1"/>
    </xf>
    <xf numFmtId="2" fontId="22" fillId="0" borderId="4" xfId="0" applyNumberFormat="1" applyFont="1" applyBorder="1" applyAlignment="1">
      <alignment horizontal="right" vertical="center" wrapText="1"/>
    </xf>
    <xf numFmtId="1" fontId="22" fillId="0" borderId="4" xfId="0" applyNumberFormat="1" applyFont="1" applyBorder="1" applyAlignment="1">
      <alignment horizontal="right" vertical="center" wrapText="1"/>
    </xf>
    <xf numFmtId="0" fontId="22" fillId="0" borderId="32" xfId="0" applyNumberFormat="1" applyFont="1" applyBorder="1" applyAlignment="1">
      <alignment horizontal="right" vertical="center" wrapText="1"/>
    </xf>
    <xf numFmtId="185" fontId="21" fillId="0" borderId="33" xfId="0" applyNumberFormat="1" applyFont="1" applyBorder="1" applyAlignment="1">
      <alignment horizontal="right" vertical="center" wrapText="1"/>
    </xf>
    <xf numFmtId="185" fontId="21" fillId="0" borderId="4" xfId="0" applyNumberFormat="1" applyFont="1" applyBorder="1" applyAlignment="1">
      <alignment horizontal="right" vertical="center" wrapText="1"/>
    </xf>
    <xf numFmtId="2" fontId="21" fillId="0" borderId="33" xfId="0" applyNumberFormat="1" applyFont="1" applyBorder="1" applyAlignment="1">
      <alignment horizontal="right" vertical="center" wrapText="1"/>
    </xf>
    <xf numFmtId="0" fontId="22" fillId="0" borderId="4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4" borderId="0" xfId="0" applyFont="1" applyFill="1" applyBorder="1" applyAlignment="1" applyProtection="1">
      <alignment horizontal="right" vertical="center"/>
      <protection locked="0"/>
    </xf>
    <xf numFmtId="0" fontId="10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Border="1" applyAlignment="1">
      <alignment horizontal="right" vertical="center"/>
    </xf>
    <xf numFmtId="2" fontId="22" fillId="0" borderId="34" xfId="0" applyNumberFormat="1" applyFont="1" applyBorder="1" applyAlignment="1">
      <alignment horizontal="right" vertical="center" wrapText="1"/>
    </xf>
    <xf numFmtId="184" fontId="22" fillId="0" borderId="31" xfId="0" applyNumberFormat="1" applyFont="1" applyBorder="1" applyAlignment="1">
      <alignment horizontal="right" vertical="center" wrapText="1"/>
    </xf>
    <xf numFmtId="0" fontId="22" fillId="0" borderId="32" xfId="0" applyFont="1" applyBorder="1" applyAlignment="1">
      <alignment horizontal="right" vertical="center" wrapText="1"/>
    </xf>
    <xf numFmtId="2" fontId="22" fillId="0" borderId="35" xfId="0" applyNumberFormat="1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2" fillId="0" borderId="33" xfId="0" applyFont="1" applyBorder="1" applyAlignment="1">
      <alignment horizontal="right" vertical="center" wrapText="1"/>
    </xf>
    <xf numFmtId="185" fontId="21" fillId="0" borderId="30" xfId="0" applyNumberFormat="1" applyFont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6" fillId="5" borderId="37" xfId="0" applyFont="1" applyFill="1" applyBorder="1" applyAlignment="1" applyProtection="1">
      <alignment horizontal="left" vertical="center"/>
      <protection locked="0"/>
    </xf>
    <xf numFmtId="0" fontId="6" fillId="5" borderId="16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22" fillId="0" borderId="9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185" fontId="0" fillId="0" borderId="0" xfId="0" applyNumberFormat="1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vertical="center"/>
    </xf>
    <xf numFmtId="0" fontId="21" fillId="2" borderId="39" xfId="0" applyFont="1" applyFill="1" applyBorder="1" applyAlignment="1">
      <alignment vertical="center"/>
    </xf>
    <xf numFmtId="0" fontId="21" fillId="2" borderId="40" xfId="0" applyFont="1" applyFill="1" applyBorder="1" applyAlignment="1">
      <alignment vertical="center"/>
    </xf>
    <xf numFmtId="0" fontId="21" fillId="0" borderId="7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6" fillId="5" borderId="41" xfId="0" applyNumberFormat="1" applyFont="1" applyFill="1" applyBorder="1" applyAlignment="1" applyProtection="1">
      <alignment horizontal="left" vertical="center"/>
      <protection locked="0"/>
    </xf>
    <xf numFmtId="0" fontId="6" fillId="5" borderId="26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0" fillId="2" borderId="0" xfId="0" applyFill="1" applyAlignment="1" applyProtection="1">
      <alignment vertical="center"/>
      <protection locked="0"/>
    </xf>
    <xf numFmtId="14" fontId="6" fillId="5" borderId="41" xfId="0" applyNumberFormat="1" applyFont="1" applyFill="1" applyBorder="1" applyAlignment="1" applyProtection="1">
      <alignment horizontal="left" vertical="center"/>
      <protection locked="0"/>
    </xf>
    <xf numFmtId="14" fontId="6" fillId="5" borderId="37" xfId="0" applyNumberFormat="1" applyFont="1" applyFill="1" applyBorder="1" applyAlignment="1" applyProtection="1">
      <alignment horizontal="left" vertical="center"/>
      <protection locked="0"/>
    </xf>
    <xf numFmtId="14" fontId="6" fillId="5" borderId="16" xfId="0" applyNumberFormat="1" applyFont="1" applyFill="1" applyBorder="1" applyAlignment="1" applyProtection="1">
      <alignment horizontal="left" vertical="center"/>
      <protection locked="0"/>
    </xf>
    <xf numFmtId="0" fontId="6" fillId="5" borderId="41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right" vertical="center" wrapText="1"/>
    </xf>
    <xf numFmtId="0" fontId="22" fillId="0" borderId="31" xfId="0" applyFont="1" applyBorder="1" applyAlignment="1">
      <alignment horizontal="righ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</cellXfs>
  <cellStyles count="14">
    <cellStyle name="Normal" xfId="0"/>
    <cellStyle name="Followed Hyperlink" xfId="15"/>
    <cellStyle name="Comma [0]_IBC German model" xfId="16"/>
    <cellStyle name="Comma_IBC German model" xfId="17"/>
    <cellStyle name="Currency [0]_IBC German model" xfId="18"/>
    <cellStyle name="Currency_IBC German model" xfId="19"/>
    <cellStyle name="Comma" xfId="20"/>
    <cellStyle name="Comma [0]" xfId="21"/>
    <cellStyle name="Euro" xfId="22"/>
    <cellStyle name="Hyperlink" xfId="23"/>
    <cellStyle name="Normal_IBC German model" xfId="24"/>
    <cellStyle name="Percent" xfId="25"/>
    <cellStyle name="Currency" xfId="26"/>
    <cellStyle name="Currency [0]" xfId="27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8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17</xdr:row>
      <xdr:rowOff>180975</xdr:rowOff>
    </xdr:from>
    <xdr:to>
      <xdr:col>2</xdr:col>
      <xdr:colOff>1038225</xdr:colOff>
      <xdr:row>19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048000"/>
          <a:ext cx="10572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361950</xdr:colOff>
      <xdr:row>25</xdr:row>
      <xdr:rowOff>9525</xdr:rowOff>
    </xdr:from>
    <xdr:to>
      <xdr:col>3</xdr:col>
      <xdr:colOff>1343025</xdr:colOff>
      <xdr:row>26</xdr:row>
      <xdr:rowOff>28575</xdr:rowOff>
    </xdr:to>
    <xdr:pic>
      <xdr:nvPicPr>
        <xdr:cNvPr id="2" name="Combo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4552950"/>
          <a:ext cx="9810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6</xdr:col>
      <xdr:colOff>9525</xdr:colOff>
      <xdr:row>5</xdr:row>
      <xdr:rowOff>19050</xdr:rowOff>
    </xdr:to>
    <xdr:pic>
      <xdr:nvPicPr>
        <xdr:cNvPr id="3" name="Combo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647700"/>
          <a:ext cx="30765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647700</xdr:colOff>
      <xdr:row>19</xdr:row>
      <xdr:rowOff>0</xdr:rowOff>
    </xdr:from>
    <xdr:to>
      <xdr:col>6</xdr:col>
      <xdr:colOff>0</xdr:colOff>
      <xdr:row>20</xdr:row>
      <xdr:rowOff>19050</xdr:rowOff>
    </xdr:to>
    <xdr:pic>
      <xdr:nvPicPr>
        <xdr:cNvPr id="4" name="Combo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3286125"/>
          <a:ext cx="41338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647700</xdr:colOff>
      <xdr:row>20</xdr:row>
      <xdr:rowOff>9525</xdr:rowOff>
    </xdr:from>
    <xdr:to>
      <xdr:col>2</xdr:col>
      <xdr:colOff>1038225</xdr:colOff>
      <xdr:row>21</xdr:row>
      <xdr:rowOff>28575</xdr:rowOff>
    </xdr:to>
    <xdr:pic>
      <xdr:nvPicPr>
        <xdr:cNvPr id="5" name="ComboBox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0" y="3505200"/>
          <a:ext cx="1057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647700</xdr:colOff>
      <xdr:row>21</xdr:row>
      <xdr:rowOff>19050</xdr:rowOff>
    </xdr:from>
    <xdr:to>
      <xdr:col>6</xdr:col>
      <xdr:colOff>0</xdr:colOff>
      <xdr:row>22</xdr:row>
      <xdr:rowOff>38100</xdr:rowOff>
    </xdr:to>
    <xdr:pic>
      <xdr:nvPicPr>
        <xdr:cNvPr id="6" name="ComboBox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3724275"/>
          <a:ext cx="41338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647700</xdr:colOff>
      <xdr:row>22</xdr:row>
      <xdr:rowOff>28575</xdr:rowOff>
    </xdr:from>
    <xdr:to>
      <xdr:col>2</xdr:col>
      <xdr:colOff>1038225</xdr:colOff>
      <xdr:row>23</xdr:row>
      <xdr:rowOff>47625</xdr:rowOff>
    </xdr:to>
    <xdr:pic>
      <xdr:nvPicPr>
        <xdr:cNvPr id="7" name="ComboBox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0" y="3943350"/>
          <a:ext cx="1057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EK460"/>
  <sheetViews>
    <sheetView showGridLines="0" showZeros="0" tabSelected="1" workbookViewId="0" topLeftCell="A1">
      <selection activeCell="A1" sqref="A1"/>
    </sheetView>
  </sheetViews>
  <sheetFormatPr defaultColWidth="11.421875" defaultRowHeight="12.75" customHeight="1"/>
  <cols>
    <col min="1" max="1" width="20.28125" style="6" customWidth="1"/>
    <col min="2" max="2" width="10.00390625" style="185" customWidth="1"/>
    <col min="3" max="3" width="15.7109375" style="6" customWidth="1"/>
    <col min="4" max="4" width="20.28125" style="6" customWidth="1"/>
    <col min="5" max="5" width="10.00390625" style="185" customWidth="1"/>
    <col min="6" max="6" width="15.7109375" style="6" customWidth="1"/>
    <col min="7" max="7" width="3.57421875" style="6" customWidth="1"/>
    <col min="8" max="8" width="3.57421875" style="13" customWidth="1"/>
    <col min="9" max="9" width="3.57421875" style="6" customWidth="1"/>
    <col min="10" max="12" width="3.57421875" style="6" hidden="1" customWidth="1"/>
    <col min="13" max="15" width="1.28515625" style="6" hidden="1" customWidth="1"/>
    <col min="16" max="16" width="32.8515625" style="6" hidden="1" customWidth="1"/>
    <col min="17" max="17" width="4.57421875" style="13" hidden="1" customWidth="1"/>
    <col min="18" max="18" width="3.00390625" style="6" hidden="1" customWidth="1"/>
    <col min="19" max="19" width="65.00390625" style="6" hidden="1" customWidth="1"/>
    <col min="20" max="20" width="3.00390625" style="6" hidden="1" customWidth="1"/>
    <col min="21" max="21" width="5.57421875" style="6" hidden="1" customWidth="1"/>
    <col min="22" max="22" width="3.00390625" style="6" hidden="1" customWidth="1"/>
    <col min="23" max="23" width="5.57421875" style="6" hidden="1" customWidth="1"/>
    <col min="24" max="24" width="3.00390625" style="6" hidden="1" customWidth="1"/>
    <col min="25" max="25" width="5.57421875" style="6" hidden="1" customWidth="1"/>
    <col min="26" max="26" width="3.00390625" style="6" hidden="1" customWidth="1"/>
    <col min="27" max="27" width="4.57421875" style="6" hidden="1" customWidth="1"/>
    <col min="28" max="28" width="3.00390625" style="6" hidden="1" customWidth="1"/>
    <col min="29" max="29" width="4.57421875" style="6" hidden="1" customWidth="1"/>
    <col min="30" max="30" width="3.00390625" style="6" hidden="1" customWidth="1"/>
    <col min="31" max="31" width="4.57421875" style="6" hidden="1" customWidth="1"/>
    <col min="32" max="32" width="1.28515625" style="6" hidden="1" customWidth="1"/>
    <col min="33" max="33" width="9.57421875" style="6" hidden="1" customWidth="1"/>
    <col min="34" max="34" width="6.57421875" style="14" hidden="1" customWidth="1"/>
    <col min="35" max="35" width="3.00390625" style="14" hidden="1" customWidth="1"/>
    <col min="36" max="36" width="5.57421875" style="14" hidden="1" customWidth="1"/>
    <col min="37" max="37" width="3.00390625" style="14" hidden="1" customWidth="1"/>
    <col min="38" max="38" width="6.00390625" style="14" hidden="1" customWidth="1"/>
    <col min="39" max="39" width="3.00390625" style="14" hidden="1" customWidth="1"/>
    <col min="40" max="40" width="5.57421875" style="14" hidden="1" customWidth="1"/>
    <col min="41" max="41" width="3.00390625" style="14" hidden="1" customWidth="1"/>
    <col min="42" max="42" width="5.57421875" style="14" hidden="1" customWidth="1"/>
    <col min="43" max="43" width="3.00390625" style="14" hidden="1" customWidth="1"/>
    <col min="44" max="44" width="4.57421875" style="14" hidden="1" customWidth="1"/>
    <col min="45" max="45" width="3.00390625" style="14" hidden="1" customWidth="1"/>
    <col min="46" max="46" width="4.57421875" style="14" hidden="1" customWidth="1"/>
    <col min="47" max="47" width="3.00390625" style="14" hidden="1" customWidth="1"/>
    <col min="48" max="48" width="5.57421875" style="14" hidden="1" customWidth="1"/>
    <col min="49" max="49" width="1.28515625" style="14" hidden="1" customWidth="1"/>
    <col min="50" max="50" width="10.421875" style="14" hidden="1" customWidth="1"/>
    <col min="51" max="51" width="6.57421875" style="14" hidden="1" customWidth="1"/>
    <col min="52" max="52" width="3.00390625" style="5" hidden="1" customWidth="1"/>
    <col min="53" max="53" width="5.57421875" style="5" hidden="1" customWidth="1"/>
    <col min="54" max="54" width="3.00390625" style="5" hidden="1" customWidth="1"/>
    <col min="55" max="55" width="6.00390625" style="5" hidden="1" customWidth="1"/>
    <col min="56" max="56" width="3.00390625" style="5" hidden="1" customWidth="1"/>
    <col min="57" max="57" width="5.57421875" style="5" hidden="1" customWidth="1"/>
    <col min="58" max="58" width="3.00390625" style="5" hidden="1" customWidth="1"/>
    <col min="59" max="59" width="5.57421875" style="5" hidden="1" customWidth="1"/>
    <col min="60" max="60" width="3.00390625" style="5" hidden="1" customWidth="1"/>
    <col min="61" max="61" width="4.57421875" style="5" hidden="1" customWidth="1"/>
    <col min="62" max="62" width="3.00390625" style="5" hidden="1" customWidth="1"/>
    <col min="63" max="63" width="4.57421875" style="5" hidden="1" customWidth="1"/>
    <col min="64" max="65" width="6.28125" style="5" hidden="1" customWidth="1"/>
    <col min="66" max="68" width="6.28125" style="5" customWidth="1"/>
    <col min="69" max="141" width="11.421875" style="5" customWidth="1"/>
    <col min="142" max="16384" width="11.421875" style="6" customWidth="1"/>
  </cols>
  <sheetData>
    <row r="1" spans="1:141" ht="12.75" customHeight="1">
      <c r="A1" s="170" t="s">
        <v>38</v>
      </c>
      <c r="B1" s="180"/>
      <c r="C1" s="140"/>
      <c r="D1" s="140"/>
      <c r="E1" s="180"/>
      <c r="F1" s="141"/>
      <c r="G1" s="42"/>
      <c r="H1" s="42"/>
      <c r="I1" s="42"/>
      <c r="J1" s="42"/>
      <c r="K1" s="42"/>
      <c r="L1" s="42"/>
      <c r="M1" s="42"/>
      <c r="N1" s="42"/>
      <c r="O1" s="13"/>
      <c r="Q1" s="6"/>
      <c r="AF1" s="14"/>
      <c r="AG1" s="14"/>
      <c r="AX1" s="5"/>
      <c r="AY1" s="5"/>
      <c r="EJ1" s="6"/>
      <c r="EK1" s="6"/>
    </row>
    <row r="2" spans="1:141" ht="12.75" customHeight="1">
      <c r="A2" s="57"/>
      <c r="B2" s="181"/>
      <c r="C2" s="54"/>
      <c r="D2" s="54"/>
      <c r="E2" s="181"/>
      <c r="F2" s="59"/>
      <c r="G2" s="15"/>
      <c r="H2" s="15"/>
      <c r="I2" s="15"/>
      <c r="J2" s="15"/>
      <c r="K2" s="15"/>
      <c r="L2" s="15"/>
      <c r="M2" s="15"/>
      <c r="N2" s="15"/>
      <c r="O2" s="13"/>
      <c r="P2" s="1" t="s">
        <v>1</v>
      </c>
      <c r="Q2" s="1"/>
      <c r="R2" s="1"/>
      <c r="S2" s="1"/>
      <c r="T2" s="1"/>
      <c r="U2" s="6">
        <f>IF(P21=1,Q23,IF(P21=5,Q24,IF(P21=10,Q25,IF(P21=15,Q26,IF(P21=20,Q27,IF(P21=0,0))))))</f>
        <v>0</v>
      </c>
      <c r="V2" s="6">
        <f>IF(P21=1,AH23,IF(P21=5,AH24,IF(P21=10,AH25,IF(P21=15,AH26,IF(P21=20,AH27,IF(P21=0,0))))))</f>
        <v>0</v>
      </c>
      <c r="AF2" s="14"/>
      <c r="AG2" s="14"/>
      <c r="AX2" s="5"/>
      <c r="AY2" s="5"/>
      <c r="EJ2" s="6"/>
      <c r="EK2" s="6"/>
    </row>
    <row r="3" spans="1:141" ht="12.75" customHeight="1">
      <c r="A3" s="53" t="s">
        <v>26</v>
      </c>
      <c r="B3" s="181"/>
      <c r="C3" s="54"/>
      <c r="D3" s="253"/>
      <c r="E3" s="254"/>
      <c r="F3" s="255"/>
      <c r="G3" s="15"/>
      <c r="H3" s="15"/>
      <c r="I3" s="15"/>
      <c r="J3" s="15"/>
      <c r="K3" s="15"/>
      <c r="L3" s="15"/>
      <c r="M3" s="15"/>
      <c r="N3" s="15"/>
      <c r="O3" s="13"/>
      <c r="P3" s="2" t="s">
        <v>2</v>
      </c>
      <c r="Q3" s="1"/>
      <c r="R3" s="1"/>
      <c r="S3" s="1"/>
      <c r="T3" s="1"/>
      <c r="U3" s="6">
        <f>IF(AA33=AA35,AB35,IF(AA33=AA36,AB36,IF(AA33=AA37,AB37,IF(AA33=AA38,AB38,IF(AA33=AA39,AB39,IF(AA33=0,0))))))</f>
        <v>0</v>
      </c>
      <c r="V3" s="6">
        <f>IF(AA33=AA35,AC35,IF(AA33=AA36,AC36,IF(AA33=AA37,AC37,IF(AA33=AA38,AC38,IF(AA33=AA39,AC39,IF(AA33=0,0))))))</f>
        <v>0</v>
      </c>
      <c r="X3" s="84">
        <f>IF(S4=1,U2,IF(OR(S4=2,S4=3),U3,IF(S4=4,U5,"")))</f>
      </c>
      <c r="AF3" s="14"/>
      <c r="AG3" s="14"/>
      <c r="AX3" s="5"/>
      <c r="AY3" s="5"/>
      <c r="EJ3" s="6"/>
      <c r="EK3" s="6"/>
    </row>
    <row r="4" spans="1:141" ht="12.75" customHeight="1">
      <c r="A4" s="55" t="s">
        <v>0</v>
      </c>
      <c r="B4" s="181"/>
      <c r="C4" s="54"/>
      <c r="D4" s="256"/>
      <c r="E4" s="220"/>
      <c r="F4" s="221"/>
      <c r="G4" s="15"/>
      <c r="H4" s="15"/>
      <c r="I4" s="15"/>
      <c r="J4" s="15"/>
      <c r="K4" s="15"/>
      <c r="L4" s="15"/>
      <c r="M4" s="15"/>
      <c r="N4" s="15"/>
      <c r="O4" s="13"/>
      <c r="P4" s="1" t="s">
        <v>3</v>
      </c>
      <c r="Q4" s="1"/>
      <c r="R4" s="1"/>
      <c r="S4" s="1">
        <f>IF(E5=P2,1,IF(E5=P3,2,IF(E5=P4,3,IF(E5=P5,4,0))))</f>
        <v>0</v>
      </c>
      <c r="T4" s="1"/>
      <c r="AF4" s="14"/>
      <c r="AG4" s="14"/>
      <c r="AX4" s="5"/>
      <c r="AY4" s="5"/>
      <c r="EJ4" s="6"/>
      <c r="EK4" s="6"/>
    </row>
    <row r="5" spans="1:141" ht="16.5" customHeight="1">
      <c r="A5" s="55" t="s">
        <v>16</v>
      </c>
      <c r="B5" s="242"/>
      <c r="C5" s="243"/>
      <c r="D5" s="80"/>
      <c r="E5" s="203" t="s">
        <v>32</v>
      </c>
      <c r="F5" s="142"/>
      <c r="G5" s="15"/>
      <c r="H5" s="15"/>
      <c r="I5" s="15"/>
      <c r="J5" s="15"/>
      <c r="K5" s="15"/>
      <c r="L5" s="15"/>
      <c r="M5" s="15"/>
      <c r="N5" s="15"/>
      <c r="O5" s="13"/>
      <c r="P5" s="1" t="s">
        <v>13</v>
      </c>
      <c r="Q5" s="1"/>
      <c r="R5" s="1"/>
      <c r="S5" s="1">
        <f>IF(S4=1,"FCTM",IF(S4=2,"HCTM",IF(S4=3,"HCHH",IF(S4=4,"HG",0))))</f>
        <v>0</v>
      </c>
      <c r="T5" s="1"/>
      <c r="U5" s="6">
        <f>IF(AA59=AA61,AB61,IF(AA59=AA62,AB62,IF(AA59=AA63,AB63,IF(AA59=AA64,AB64,IF(AA59=AA65,AB65,IF(AA59=0,0))))))</f>
        <v>0</v>
      </c>
      <c r="V5" s="6">
        <f>IF(AA59=AA61,AC61,IF(AA59=AA62,AC62,IF(AA59=AA63,AC63,IF(AA59=AA64,AC64,IF(AA59=AA65,AC65,IF(AA59=0,0))))))</f>
        <v>0</v>
      </c>
      <c r="AF5" s="14"/>
      <c r="AG5" s="14"/>
      <c r="AX5" s="5"/>
      <c r="AY5" s="5"/>
      <c r="EJ5" s="6"/>
      <c r="EK5" s="6"/>
    </row>
    <row r="6" spans="1:141" ht="12.75" customHeight="1">
      <c r="A6" s="55" t="s">
        <v>37</v>
      </c>
      <c r="B6" s="181"/>
      <c r="C6" s="174">
        <f>IF(S4=1,20,IF(S4=2,8,IF(S4=3,1,IF(S4=4,0.05,0))))</f>
        <v>0</v>
      </c>
      <c r="D6" s="56" t="s">
        <v>34</v>
      </c>
      <c r="E6" s="181"/>
      <c r="F6" s="59"/>
      <c r="G6" s="132"/>
      <c r="H6" s="15"/>
      <c r="I6" s="15"/>
      <c r="J6" s="15"/>
      <c r="K6" s="15"/>
      <c r="L6" s="15"/>
      <c r="M6" s="15"/>
      <c r="N6" s="15"/>
      <c r="O6" s="13"/>
      <c r="Q6" s="6"/>
      <c r="AF6" s="14"/>
      <c r="AG6" s="14"/>
      <c r="AX6" s="5"/>
      <c r="AY6" s="5"/>
      <c r="EJ6" s="6"/>
      <c r="EK6" s="6"/>
    </row>
    <row r="7" spans="1:141" ht="12.75" customHeight="1">
      <c r="A7" s="55" t="s">
        <v>4</v>
      </c>
      <c r="B7" s="181"/>
      <c r="C7" s="75"/>
      <c r="D7" s="60" t="s">
        <v>27</v>
      </c>
      <c r="E7" s="204"/>
      <c r="F7" s="143"/>
      <c r="G7" s="132"/>
      <c r="H7" s="133"/>
      <c r="I7" s="15"/>
      <c r="J7" s="15"/>
      <c r="K7" s="15"/>
      <c r="L7" s="15"/>
      <c r="M7" s="15"/>
      <c r="N7" s="15"/>
      <c r="O7" s="13"/>
      <c r="Q7" s="6"/>
      <c r="AF7" s="14"/>
      <c r="AG7" s="14"/>
      <c r="AX7" s="5"/>
      <c r="AY7" s="5"/>
      <c r="EJ7" s="6"/>
      <c r="EK7" s="6"/>
    </row>
    <row r="8" spans="1:141" ht="12.75" customHeight="1">
      <c r="A8" s="55" t="s">
        <v>28</v>
      </c>
      <c r="B8" s="181"/>
      <c r="C8" s="64">
        <v>1</v>
      </c>
      <c r="D8" s="76" t="s">
        <v>105</v>
      </c>
      <c r="E8" s="181"/>
      <c r="F8" s="59"/>
      <c r="G8" s="15"/>
      <c r="H8" s="15"/>
      <c r="I8" s="15"/>
      <c r="J8" s="15"/>
      <c r="K8" s="15"/>
      <c r="L8" s="15"/>
      <c r="M8" s="15"/>
      <c r="N8" s="15"/>
      <c r="O8" s="13"/>
      <c r="Q8" s="6"/>
      <c r="AF8" s="14"/>
      <c r="AG8" s="14"/>
      <c r="AX8" s="5"/>
      <c r="AY8" s="5"/>
      <c r="EJ8" s="6"/>
      <c r="EK8" s="6"/>
    </row>
    <row r="9" spans="1:141" ht="14.25" customHeight="1">
      <c r="A9" s="216" t="s">
        <v>106</v>
      </c>
      <c r="B9" s="181"/>
      <c r="C9" s="54"/>
      <c r="D9" s="60"/>
      <c r="E9" s="181"/>
      <c r="F9" s="59"/>
      <c r="G9" s="15"/>
      <c r="H9" s="15"/>
      <c r="I9" s="15"/>
      <c r="J9" s="15"/>
      <c r="K9" s="15"/>
      <c r="L9" s="15"/>
      <c r="M9" s="15"/>
      <c r="N9" s="15"/>
      <c r="O9" s="13"/>
      <c r="Q9" s="6"/>
      <c r="AF9" s="14"/>
      <c r="AG9" s="14"/>
      <c r="AX9" s="5"/>
      <c r="AY9" s="5"/>
      <c r="EJ9" s="6"/>
      <c r="EK9" s="6"/>
    </row>
    <row r="10" spans="1:141" ht="12.75" customHeight="1">
      <c r="A10" s="144" t="s">
        <v>100</v>
      </c>
      <c r="B10" s="181"/>
      <c r="C10" s="54"/>
      <c r="D10" s="54"/>
      <c r="E10" s="181"/>
      <c r="F10" s="59"/>
      <c r="G10" s="15"/>
      <c r="H10" s="15"/>
      <c r="I10" s="15"/>
      <c r="J10" s="15"/>
      <c r="K10" s="15"/>
      <c r="L10" s="15"/>
      <c r="M10" s="15"/>
      <c r="N10" s="15"/>
      <c r="O10" s="13"/>
      <c r="Q10" s="6"/>
      <c r="AF10" s="14"/>
      <c r="AG10" s="14"/>
      <c r="AX10" s="5"/>
      <c r="AY10" s="5"/>
      <c r="EJ10" s="6"/>
      <c r="EK10" s="6"/>
    </row>
    <row r="11" spans="1:141" ht="12.75" customHeight="1">
      <c r="A11" s="55" t="s">
        <v>29</v>
      </c>
      <c r="B11" s="181"/>
      <c r="C11" s="63"/>
      <c r="D11" s="60" t="s">
        <v>33</v>
      </c>
      <c r="E11" s="181"/>
      <c r="F11" s="59"/>
      <c r="G11" s="15"/>
      <c r="H11" s="15"/>
      <c r="I11" s="15"/>
      <c r="J11" s="15"/>
      <c r="K11" s="15"/>
      <c r="L11" s="15"/>
      <c r="M11" s="15"/>
      <c r="N11" s="15"/>
      <c r="O11" s="13"/>
      <c r="Q11" s="6"/>
      <c r="AF11" s="14"/>
      <c r="AG11" s="14"/>
      <c r="AX11" s="5"/>
      <c r="AY11" s="5"/>
      <c r="EJ11" s="6"/>
      <c r="EK11" s="6"/>
    </row>
    <row r="12" spans="1:141" ht="12.75" customHeight="1">
      <c r="A12" s="55" t="s">
        <v>30</v>
      </c>
      <c r="B12" s="181"/>
      <c r="C12" s="64">
        <v>100</v>
      </c>
      <c r="D12" s="60" t="s">
        <v>11</v>
      </c>
      <c r="E12" s="181"/>
      <c r="F12" s="59"/>
      <c r="G12" s="15"/>
      <c r="H12" s="15"/>
      <c r="I12" s="15"/>
      <c r="J12" s="15"/>
      <c r="K12" s="15"/>
      <c r="L12" s="15"/>
      <c r="M12" s="15"/>
      <c r="N12" s="15"/>
      <c r="O12" s="13"/>
      <c r="Q12" s="6"/>
      <c r="AF12" s="14"/>
      <c r="AG12" s="14"/>
      <c r="AX12" s="5"/>
      <c r="AY12" s="5"/>
      <c r="EJ12" s="6"/>
      <c r="EK12" s="6"/>
    </row>
    <row r="13" spans="1:141" ht="12.75" customHeight="1">
      <c r="A13" s="55" t="s">
        <v>31</v>
      </c>
      <c r="B13" s="181"/>
      <c r="C13" s="74">
        <v>100</v>
      </c>
      <c r="D13" s="60" t="s">
        <v>11</v>
      </c>
      <c r="E13" s="181"/>
      <c r="F13" s="59"/>
      <c r="G13" s="15"/>
      <c r="H13" s="15"/>
      <c r="I13" s="15"/>
      <c r="J13" s="15"/>
      <c r="K13" s="15"/>
      <c r="L13" s="15"/>
      <c r="M13" s="15"/>
      <c r="N13" s="15"/>
      <c r="O13" s="13"/>
      <c r="Q13" s="6"/>
      <c r="AF13" s="14"/>
      <c r="AG13" s="14"/>
      <c r="AX13" s="5"/>
      <c r="AY13" s="5"/>
      <c r="EJ13" s="6"/>
      <c r="EK13" s="6"/>
    </row>
    <row r="14" spans="1:141" ht="12.75" customHeight="1">
      <c r="A14" s="55" t="s">
        <v>5</v>
      </c>
      <c r="B14" s="182"/>
      <c r="C14" s="62"/>
      <c r="D14" s="60" t="s">
        <v>6</v>
      </c>
      <c r="E14" s="181"/>
      <c r="F14" s="59"/>
      <c r="G14" s="15"/>
      <c r="H14" s="15"/>
      <c r="I14" s="15"/>
      <c r="J14" s="15"/>
      <c r="K14" s="15"/>
      <c r="L14" s="15"/>
      <c r="M14" s="15"/>
      <c r="N14" s="15"/>
      <c r="O14" s="13"/>
      <c r="Q14" s="6"/>
      <c r="AF14" s="14"/>
      <c r="AG14" s="14"/>
      <c r="AX14" s="5"/>
      <c r="AY14" s="5"/>
      <c r="EJ14" s="6"/>
      <c r="EK14" s="6"/>
    </row>
    <row r="15" spans="1:141" ht="12.75" customHeight="1">
      <c r="A15" s="55" t="s">
        <v>109</v>
      </c>
      <c r="B15" s="181"/>
      <c r="C15" s="64">
        <v>60</v>
      </c>
      <c r="D15" s="54" t="s">
        <v>98</v>
      </c>
      <c r="E15" s="181"/>
      <c r="F15" s="59"/>
      <c r="G15" s="15"/>
      <c r="H15" s="23"/>
      <c r="I15" s="23"/>
      <c r="J15" s="15"/>
      <c r="K15" s="2"/>
      <c r="L15" s="15"/>
      <c r="M15" s="15"/>
      <c r="N15" s="15"/>
      <c r="O15" s="13"/>
      <c r="Q15" s="6"/>
      <c r="AF15" s="14"/>
      <c r="AG15" s="14"/>
      <c r="AX15" s="5"/>
      <c r="AY15" s="5"/>
      <c r="EJ15" s="6"/>
      <c r="EK15" s="6"/>
    </row>
    <row r="16" spans="1:141" ht="12.75" customHeight="1">
      <c r="A16" s="57"/>
      <c r="B16" s="181"/>
      <c r="C16" s="64">
        <v>16.15</v>
      </c>
      <c r="D16" s="54" t="s">
        <v>99</v>
      </c>
      <c r="E16" s="181"/>
      <c r="F16" s="59"/>
      <c r="G16" s="15"/>
      <c r="H16" s="15"/>
      <c r="I16" s="15"/>
      <c r="J16" s="15"/>
      <c r="K16" s="15"/>
      <c r="L16" s="15"/>
      <c r="M16" s="15"/>
      <c r="N16" s="15"/>
      <c r="O16" s="13"/>
      <c r="Q16" s="6"/>
      <c r="AF16" s="14"/>
      <c r="AG16" s="14"/>
      <c r="AX16" s="5"/>
      <c r="AY16" s="5"/>
      <c r="EJ16" s="6"/>
      <c r="EK16" s="6"/>
    </row>
    <row r="17" spans="1:141" ht="16.5" customHeight="1">
      <c r="A17" s="57"/>
      <c r="B17" s="181"/>
      <c r="C17" s="54"/>
      <c r="D17" s="54"/>
      <c r="E17" s="181"/>
      <c r="F17" s="59"/>
      <c r="G17" s="134"/>
      <c r="H17" s="138"/>
      <c r="I17" s="15"/>
      <c r="J17" s="15"/>
      <c r="K17" s="23"/>
      <c r="L17" s="23"/>
      <c r="M17" s="2"/>
      <c r="N17" s="2"/>
      <c r="O17" s="13"/>
      <c r="Q17" s="6"/>
      <c r="AF17" s="14"/>
      <c r="AG17" s="14"/>
      <c r="AX17" s="5"/>
      <c r="AY17" s="5"/>
      <c r="EJ17" s="6"/>
      <c r="EK17" s="6"/>
    </row>
    <row r="18" spans="1:141" ht="16.5" customHeight="1">
      <c r="A18" s="55" t="s">
        <v>35</v>
      </c>
      <c r="B18" s="67"/>
      <c r="C18" s="66"/>
      <c r="D18" s="66"/>
      <c r="E18" s="205"/>
      <c r="F18" s="59"/>
      <c r="G18" s="134"/>
      <c r="H18" s="23"/>
      <c r="I18" s="23"/>
      <c r="J18" s="42"/>
      <c r="K18" s="42"/>
      <c r="L18" s="23"/>
      <c r="M18" s="2"/>
      <c r="N18" s="2"/>
      <c r="O18" s="13"/>
      <c r="P18" s="16"/>
      <c r="Q18" s="16"/>
      <c r="R18" s="16">
        <v>1</v>
      </c>
      <c r="S18" s="16"/>
      <c r="T18" s="16">
        <v>2</v>
      </c>
      <c r="U18" s="16"/>
      <c r="V18" s="16">
        <v>3</v>
      </c>
      <c r="W18" s="16"/>
      <c r="X18" s="16">
        <v>4</v>
      </c>
      <c r="Y18" s="16"/>
      <c r="Z18" s="16">
        <v>5</v>
      </c>
      <c r="AA18" s="16"/>
      <c r="AB18" s="16">
        <v>6</v>
      </c>
      <c r="AC18" s="16"/>
      <c r="AD18" s="16">
        <v>7</v>
      </c>
      <c r="AE18" s="16"/>
      <c r="AF18" s="17"/>
      <c r="AG18" s="17" t="s">
        <v>39</v>
      </c>
      <c r="AH18" s="17"/>
      <c r="AX18" s="5" t="s">
        <v>40</v>
      </c>
      <c r="AY18" s="5"/>
      <c r="EJ18" s="6"/>
      <c r="EK18" s="6"/>
    </row>
    <row r="19" spans="1:141" ht="16.5" customHeight="1">
      <c r="A19" s="77" t="str">
        <f>IF(S4=1,"  FCTM:","  Field crops not selected")</f>
        <v>  Field crops not selected</v>
      </c>
      <c r="B19" s="67"/>
      <c r="C19" s="139"/>
      <c r="D19" s="139" t="s">
        <v>113</v>
      </c>
      <c r="E19" s="206"/>
      <c r="F19" s="145"/>
      <c r="G19" s="134"/>
      <c r="H19" s="23"/>
      <c r="I19" s="23"/>
      <c r="J19" s="68"/>
      <c r="K19" s="23"/>
      <c r="L19" s="2"/>
      <c r="M19" s="2"/>
      <c r="N19" s="2"/>
      <c r="O19" s="13"/>
      <c r="P19" s="241" t="s">
        <v>7</v>
      </c>
      <c r="Q19" s="241"/>
      <c r="R19" s="241" t="s">
        <v>8</v>
      </c>
      <c r="S19" s="241"/>
      <c r="T19" s="241" t="s">
        <v>9</v>
      </c>
      <c r="U19" s="241"/>
      <c r="V19" s="241" t="s">
        <v>17</v>
      </c>
      <c r="W19" s="241"/>
      <c r="X19" s="241" t="s">
        <v>10</v>
      </c>
      <c r="Y19" s="241"/>
      <c r="Z19" s="241" t="s">
        <v>22</v>
      </c>
      <c r="AA19" s="241"/>
      <c r="AB19" s="241" t="s">
        <v>23</v>
      </c>
      <c r="AC19" s="241"/>
      <c r="AD19" s="241" t="s">
        <v>18</v>
      </c>
      <c r="AE19" s="241"/>
      <c r="AF19" s="17"/>
      <c r="AG19" s="17"/>
      <c r="AH19" s="17"/>
      <c r="AX19" s="5"/>
      <c r="AY19" s="5"/>
      <c r="EJ19" s="6"/>
      <c r="EK19" s="6"/>
    </row>
    <row r="20" spans="1:141" ht="16.5" customHeight="1">
      <c r="A20" s="77" t="str">
        <f>IF(OR(S4=2,S4=3),"  HCTM/HCHH:","  High crops not selected")</f>
        <v>  High crops not selected</v>
      </c>
      <c r="B20" s="67"/>
      <c r="C20" s="139"/>
      <c r="D20" s="139"/>
      <c r="E20" s="206"/>
      <c r="F20" s="145"/>
      <c r="G20" s="134"/>
      <c r="H20" s="23"/>
      <c r="I20" s="23"/>
      <c r="J20" s="102"/>
      <c r="K20" s="23"/>
      <c r="L20" s="2"/>
      <c r="M20" s="2"/>
      <c r="N20" s="2"/>
      <c r="O20" s="13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17"/>
      <c r="AG20" s="17"/>
      <c r="AH20" s="17"/>
      <c r="AX20" s="5"/>
      <c r="AY20" s="5"/>
      <c r="EJ20" s="6"/>
      <c r="EK20" s="6"/>
    </row>
    <row r="21" spans="1:141" ht="16.5" customHeight="1">
      <c r="A21" s="77"/>
      <c r="B21" s="67"/>
      <c r="C21" s="139"/>
      <c r="D21" s="139" t="s">
        <v>113</v>
      </c>
      <c r="E21" s="206"/>
      <c r="F21" s="145"/>
      <c r="G21" s="134"/>
      <c r="H21" s="23"/>
      <c r="I21" s="23"/>
      <c r="J21" s="102"/>
      <c r="K21" s="23"/>
      <c r="L21" s="2"/>
      <c r="M21" s="2"/>
      <c r="N21" s="2"/>
      <c r="O21" s="13"/>
      <c r="P21" s="18">
        <f>IF(P22&lt;&gt;"",VALUE(P22),0)</f>
        <v>0</v>
      </c>
      <c r="Q21" s="18"/>
      <c r="R21" s="18"/>
      <c r="S21" s="16"/>
      <c r="T21" s="18"/>
      <c r="U21" s="16"/>
      <c r="V21" s="19"/>
      <c r="W21" s="20"/>
      <c r="X21" s="18"/>
      <c r="Y21" s="16"/>
      <c r="Z21" s="18"/>
      <c r="AA21" s="16"/>
      <c r="AB21" s="18"/>
      <c r="AC21" s="16"/>
      <c r="AD21" s="16"/>
      <c r="AE21" s="16"/>
      <c r="AF21" s="17"/>
      <c r="AG21" s="17"/>
      <c r="AH21" s="17"/>
      <c r="AX21" s="5"/>
      <c r="AY21" s="5"/>
      <c r="EJ21" s="6"/>
      <c r="EK21" s="6"/>
    </row>
    <row r="22" spans="1:141" ht="16.5" customHeight="1">
      <c r="A22" s="78" t="str">
        <f>IF(S4=4,"  HG:","  Home &amp; garden not selected")</f>
        <v>  Home &amp; garden not selected</v>
      </c>
      <c r="B22" s="67"/>
      <c r="C22" s="249"/>
      <c r="D22" s="249"/>
      <c r="E22" s="249"/>
      <c r="F22" s="250"/>
      <c r="G22" s="23"/>
      <c r="H22" s="23"/>
      <c r="I22" s="23"/>
      <c r="J22" s="68"/>
      <c r="K22" s="68"/>
      <c r="L22" s="2"/>
      <c r="M22" s="2"/>
      <c r="N22" s="2"/>
      <c r="O22" s="13"/>
      <c r="P22" s="21" t="s">
        <v>32</v>
      </c>
      <c r="Q22" s="22"/>
      <c r="R22" s="16"/>
      <c r="S22" s="16"/>
      <c r="T22" s="16"/>
      <c r="V22" s="20"/>
      <c r="W22" s="20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X22" s="5"/>
      <c r="AY22" s="5"/>
      <c r="EJ22" s="6"/>
      <c r="EK22" s="6"/>
    </row>
    <row r="23" spans="1:141" ht="16.5" customHeight="1">
      <c r="A23" s="79"/>
      <c r="B23" s="181"/>
      <c r="C23" s="139"/>
      <c r="D23" s="139" t="s">
        <v>113</v>
      </c>
      <c r="E23" s="206"/>
      <c r="F23" s="145"/>
      <c r="G23" s="23"/>
      <c r="H23" s="23"/>
      <c r="I23" s="23"/>
      <c r="J23" s="102"/>
      <c r="K23" s="102"/>
      <c r="L23" s="2"/>
      <c r="M23" s="2"/>
      <c r="N23" s="2"/>
      <c r="O23" s="13"/>
      <c r="P23" s="21">
        <v>1</v>
      </c>
      <c r="Q23" s="22">
        <f>IF($C$8=0,0,IF(AND($C$8&gt;=1,$C$8&lt;2),AH23,IF($C$8=2,AY23,"&gt; 2 appl.")))</f>
        <v>2.77</v>
      </c>
      <c r="R23" s="16">
        <v>3</v>
      </c>
      <c r="S23" s="22">
        <f>IF($C$8=0,0,IF(AND($C$8&gt;=1,$C$8&lt;2),AJ23,IF($C$8=2,BA23,"&gt; 2 appl.")))</f>
        <v>29.2</v>
      </c>
      <c r="T23" s="16">
        <v>3</v>
      </c>
      <c r="U23" s="22">
        <f>IF($C$8=0,0,IF(AND($C$8&gt;=1,$C$8&lt;2),AL23,IF($C$8=2,BC23,"&gt; 2 appl.")))</f>
        <v>15.73</v>
      </c>
      <c r="V23" s="16">
        <v>3</v>
      </c>
      <c r="W23" s="22">
        <f>IF($C$8=0,0,IF(AND($C$8&gt;=1,$C$8&lt;2),AN23,IF($C$8=2,BE23,"&gt; 2 appl.")))</f>
        <v>8.02</v>
      </c>
      <c r="X23" s="16">
        <v>3</v>
      </c>
      <c r="Y23" s="22">
        <f>IF($C$8=0,0,IF(AND($C$8&gt;=1,$C$8&lt;2),AP23,IF($C$8=2,BG23,"&gt; 2 appl.")))</f>
        <v>19.33</v>
      </c>
      <c r="Z23" s="21">
        <v>1</v>
      </c>
      <c r="AA23" s="22">
        <f>IF($C$8=0,0,IF(AND($C$8&gt;=1,$C$8&lt;2),AR23,IF($C$8=2,BI23,"&gt; 2 appl.")))</f>
        <v>2.77</v>
      </c>
      <c r="AB23" s="16">
        <v>3</v>
      </c>
      <c r="AC23" s="22">
        <f>IF($C$8=0,0,IF(AND($C$8&gt;=1,$C$8&lt;2),AT23,IF($C$8=2,BK23,"&gt; 2 appl.")))</f>
        <v>8.02</v>
      </c>
      <c r="AD23" s="16">
        <v>3</v>
      </c>
      <c r="AE23" s="22">
        <f>IF($C$8=0,0,IF(AND($C$8&gt;=1,$C$8&lt;2),AV23,IF($C$8=2,AV23,"&gt; 2 appl.")))</f>
        <v>0.019</v>
      </c>
      <c r="AF23" s="17"/>
      <c r="AG23" s="21">
        <v>1</v>
      </c>
      <c r="AH23" s="22">
        <v>2.77</v>
      </c>
      <c r="AI23" s="16">
        <v>3</v>
      </c>
      <c r="AJ23" s="7">
        <v>29.2</v>
      </c>
      <c r="AK23" s="16">
        <v>3</v>
      </c>
      <c r="AL23" s="6">
        <v>15.73</v>
      </c>
      <c r="AM23" s="20">
        <v>3</v>
      </c>
      <c r="AN23" s="7">
        <v>8.02</v>
      </c>
      <c r="AO23" s="16">
        <v>3</v>
      </c>
      <c r="AP23" s="7">
        <v>19.33</v>
      </c>
      <c r="AQ23" s="16">
        <v>1</v>
      </c>
      <c r="AR23" s="7">
        <v>2.77</v>
      </c>
      <c r="AS23" s="16">
        <v>3</v>
      </c>
      <c r="AT23" s="7">
        <v>8.02</v>
      </c>
      <c r="AU23" s="16">
        <v>3</v>
      </c>
      <c r="AV23" s="51">
        <v>0.019</v>
      </c>
      <c r="AX23" s="21">
        <v>1</v>
      </c>
      <c r="AY23" s="22">
        <v>2.38</v>
      </c>
      <c r="AZ23" s="16">
        <v>3</v>
      </c>
      <c r="BA23" s="7">
        <v>25.53</v>
      </c>
      <c r="BB23" s="16">
        <v>3</v>
      </c>
      <c r="BC23" s="6">
        <v>12.13</v>
      </c>
      <c r="BD23" s="20">
        <v>3</v>
      </c>
      <c r="BE23" s="7">
        <v>7.23</v>
      </c>
      <c r="BF23" s="16">
        <v>3</v>
      </c>
      <c r="BG23" s="7">
        <v>17.73</v>
      </c>
      <c r="BH23" s="16">
        <v>1</v>
      </c>
      <c r="BI23" s="7">
        <v>2.38</v>
      </c>
      <c r="BJ23" s="16">
        <v>3</v>
      </c>
      <c r="BK23" s="7">
        <v>7.23</v>
      </c>
      <c r="BL23" s="16"/>
      <c r="BM23" s="51"/>
      <c r="EJ23" s="6"/>
      <c r="EK23" s="6"/>
    </row>
    <row r="24" spans="1:141" ht="16.5" customHeight="1">
      <c r="A24" s="55" t="str">
        <f>IF(C8&lt;=2," Drift deposit (D) for 1 appl. based on appl. technique and distance:","Drift deposit (D) based on appl. Technique and distance:")</f>
        <v> Drift deposit (D) for 1 appl. based on appl. technique and distance:</v>
      </c>
      <c r="B24" s="181"/>
      <c r="C24" s="54"/>
      <c r="D24" s="54"/>
      <c r="E24" s="176">
        <f>IF(C8&gt;2,X3,IF(C8&lt;2,X3,IF(C8=2,IF(S4=1,V2,IF(OR(S4=2,S4=3),V3,IF(S4=4,V5,0))))))</f>
      </c>
      <c r="F24" s="177">
        <f>IF(S4=0,"","% ("&amp;S5&amp;", "&amp;IF(S4=1,P21,IF(OR(S4=2,S4=3),AA33,IF(S4=4,AA59,0)))&amp;" m)")</f>
      </c>
      <c r="G24" s="23"/>
      <c r="H24" s="23"/>
      <c r="I24" s="23"/>
      <c r="J24" s="23"/>
      <c r="K24" s="68"/>
      <c r="L24" s="2"/>
      <c r="M24" s="2"/>
      <c r="N24" s="2"/>
      <c r="O24" s="13"/>
      <c r="P24" s="21">
        <v>5</v>
      </c>
      <c r="Q24" s="22">
        <f>IF($C$8=0,0,IF(AND($C$8&gt;=1,$C$8&lt;2),AH24,IF($C$8=2,AY24,"&gt; 2 appl.")))</f>
        <v>0.57</v>
      </c>
      <c r="R24" s="16">
        <v>5</v>
      </c>
      <c r="S24" s="22">
        <f>IF($C$8=0,0,IF(AND($C$8&gt;=1,$C$8&lt;2),AJ24,IF($C$8=2,BA24,"&gt; 2 appl.")))</f>
        <v>19.89</v>
      </c>
      <c r="T24" s="16">
        <v>5</v>
      </c>
      <c r="U24" s="22">
        <f>IF($C$8=0,0,IF(AND($C$8&gt;=1,$C$8&lt;2),AL24,IF($C$8=2,BC24,"&gt; 2 appl.")))</f>
        <v>8.41</v>
      </c>
      <c r="V24" s="16">
        <v>5</v>
      </c>
      <c r="W24" s="22">
        <f>IF($C$8=0,0,IF(AND($C$8&gt;=1,$C$8&lt;2),AN24,IF($C$8=2,BE24,"&gt; 2 appl.")))</f>
        <v>3.62</v>
      </c>
      <c r="X24" s="16">
        <v>5</v>
      </c>
      <c r="Y24" s="22">
        <f>IF($C$8=0,0,IF(AND($C$8&gt;=1,$C$8&lt;2),AP24,IF($C$8=2,BG24,"&gt; 2 appl.")))</f>
        <v>11.57</v>
      </c>
      <c r="Z24" s="21">
        <v>5</v>
      </c>
      <c r="AA24" s="22">
        <f>IF($C$8=0,0,IF(AND($C$8&gt;=1,$C$8&lt;2),AR24,IF($C$8=2,BI24,"&gt; 2 appl.")))</f>
        <v>0.57</v>
      </c>
      <c r="AB24" s="16">
        <v>5</v>
      </c>
      <c r="AC24" s="22">
        <f>IF($C$8=0,0,IF(AND($C$8&gt;=1,$C$8&lt;2),AT24,IF($C$8=2,BK24,"&gt; 2 appl.")))</f>
        <v>3.62</v>
      </c>
      <c r="AD24" s="16">
        <v>5</v>
      </c>
      <c r="AE24" s="22">
        <f>IF($C$8=0,0,IF(AND($C$8&gt;=1,$C$8&lt;2),AV24,IF($C$8=2,AV24,"&gt; 2 appl.")))</f>
        <v>0.014</v>
      </c>
      <c r="AF24" s="17"/>
      <c r="AG24" s="21">
        <v>5</v>
      </c>
      <c r="AH24" s="22">
        <v>0.57</v>
      </c>
      <c r="AI24" s="16">
        <v>5</v>
      </c>
      <c r="AJ24" s="7">
        <v>19.89</v>
      </c>
      <c r="AK24" s="16">
        <v>5</v>
      </c>
      <c r="AL24" s="7">
        <v>8.41</v>
      </c>
      <c r="AM24" s="20">
        <v>5</v>
      </c>
      <c r="AN24" s="7">
        <v>3.62</v>
      </c>
      <c r="AO24" s="16">
        <v>5</v>
      </c>
      <c r="AP24" s="7">
        <v>11.57</v>
      </c>
      <c r="AQ24" s="16">
        <v>5</v>
      </c>
      <c r="AR24" s="7">
        <v>0.57</v>
      </c>
      <c r="AS24" s="16">
        <v>5</v>
      </c>
      <c r="AT24" s="7">
        <v>3.62</v>
      </c>
      <c r="AU24" s="16">
        <v>5</v>
      </c>
      <c r="AV24" s="51">
        <v>0.014</v>
      </c>
      <c r="AX24" s="21">
        <v>5</v>
      </c>
      <c r="AY24" s="22">
        <v>0.47</v>
      </c>
      <c r="AZ24" s="16">
        <v>5</v>
      </c>
      <c r="BA24" s="7">
        <v>16.87</v>
      </c>
      <c r="BB24" s="16">
        <v>5</v>
      </c>
      <c r="BC24" s="7">
        <v>6.81</v>
      </c>
      <c r="BD24" s="20">
        <v>5</v>
      </c>
      <c r="BE24" s="7">
        <v>3.22</v>
      </c>
      <c r="BF24" s="16">
        <v>5</v>
      </c>
      <c r="BG24" s="7">
        <v>9.6</v>
      </c>
      <c r="BH24" s="16">
        <v>5</v>
      </c>
      <c r="BI24" s="7">
        <v>0.47</v>
      </c>
      <c r="BJ24" s="16">
        <v>5</v>
      </c>
      <c r="BK24" s="7">
        <v>3.22</v>
      </c>
      <c r="BL24" s="16"/>
      <c r="BM24" s="51"/>
      <c r="EJ24" s="6"/>
      <c r="EK24" s="6"/>
    </row>
    <row r="25" spans="1:141" ht="16.5" customHeight="1">
      <c r="A25" s="55">
        <f>IF(C8=2," Drift deposit (D) for 2 appl. based on appl. technique and distance:",0)</f>
        <v>0</v>
      </c>
      <c r="B25" s="181"/>
      <c r="C25" s="54"/>
      <c r="D25" s="54"/>
      <c r="E25" s="182">
        <f>IF(C8=2,X3,0)</f>
        <v>0</v>
      </c>
      <c r="F25" s="177">
        <f>IF(C8=2,F24,0)</f>
        <v>0</v>
      </c>
      <c r="G25" s="15"/>
      <c r="H25" s="23"/>
      <c r="I25" s="23"/>
      <c r="J25" s="23"/>
      <c r="K25" s="68"/>
      <c r="L25" s="2"/>
      <c r="M25" s="2"/>
      <c r="N25" s="2"/>
      <c r="O25" s="13"/>
      <c r="P25" s="24">
        <v>10</v>
      </c>
      <c r="Q25" s="22">
        <f>IF($C$8=0,0,IF(AND($C$8&gt;=1,$C$8&lt;2),AH25,IF($C$8=2,AY25,"&gt; 2 appl.")))</f>
        <v>0.29</v>
      </c>
      <c r="R25" s="10">
        <v>10</v>
      </c>
      <c r="S25" s="22">
        <f>IF($C$8=0,0,IF(AND($C$8&gt;=1,$C$8&lt;2),AJ25,IF($C$8=2,BA25,"&gt; 2 appl.")))</f>
        <v>11.81</v>
      </c>
      <c r="T25" s="10">
        <v>10</v>
      </c>
      <c r="U25" s="22">
        <f>IF($C$8=0,0,IF(AND($C$8&gt;=1,$C$8&lt;2),AL25,IF($C$8=2,BC25,"&gt; 2 appl.")))</f>
        <v>3.6</v>
      </c>
      <c r="V25" s="10">
        <v>10</v>
      </c>
      <c r="W25" s="22">
        <f>IF($C$8=0,0,IF(AND($C$8&gt;=1,$C$8&lt;2),AN25,IF($C$8=2,BE25,"&gt; 2 appl.")))</f>
        <v>1.23</v>
      </c>
      <c r="X25" s="10">
        <v>10</v>
      </c>
      <c r="Y25" s="22">
        <f>IF($C$8=0,0,IF(AND($C$8&gt;=1,$C$8&lt;2),AP25,IF($C$8=2,BG25,"&gt; 2 appl.")))</f>
        <v>5.77</v>
      </c>
      <c r="Z25" s="24">
        <v>10</v>
      </c>
      <c r="AA25" s="22">
        <f>IF($C$8=0,0,IF(AND($C$8&gt;=1,$C$8&lt;2),AR25,IF($C$8=2,BI25,"&gt; 2 appl.")))</f>
        <v>0.29</v>
      </c>
      <c r="AB25" s="10">
        <v>10</v>
      </c>
      <c r="AC25" s="22">
        <f>IF($C$8=0,0,IF(AND($C$8&gt;=1,$C$8&lt;2),AT25,IF($C$8=2,BK25,"&gt; 2 appl.")))</f>
        <v>1.23</v>
      </c>
      <c r="AD25" s="10">
        <v>10</v>
      </c>
      <c r="AE25" s="22">
        <f>IF($C$8=0,0,IF(AND($C$8&gt;=1,$C$8&lt;2),AV25,IF($C$8=2,AV25,"&gt; 2 appl.")))</f>
        <v>0.01</v>
      </c>
      <c r="AF25" s="17"/>
      <c r="AG25" s="24">
        <v>10</v>
      </c>
      <c r="AH25" s="25">
        <v>0.29</v>
      </c>
      <c r="AI25" s="10">
        <v>10</v>
      </c>
      <c r="AJ25" s="9">
        <v>11.81</v>
      </c>
      <c r="AK25" s="10">
        <v>10</v>
      </c>
      <c r="AL25" s="9">
        <v>3.6</v>
      </c>
      <c r="AM25" s="11">
        <v>10</v>
      </c>
      <c r="AN25" s="9">
        <v>1.23</v>
      </c>
      <c r="AO25" s="10">
        <v>10</v>
      </c>
      <c r="AP25" s="9">
        <v>5.77</v>
      </c>
      <c r="AQ25" s="10">
        <v>10</v>
      </c>
      <c r="AR25" s="9">
        <v>0.29</v>
      </c>
      <c r="AS25" s="10">
        <v>10</v>
      </c>
      <c r="AT25" s="9">
        <v>1.23</v>
      </c>
      <c r="AU25" s="10">
        <v>10</v>
      </c>
      <c r="AV25" s="52">
        <v>0.01</v>
      </c>
      <c r="AX25" s="24">
        <v>10</v>
      </c>
      <c r="AY25" s="25">
        <v>0.24</v>
      </c>
      <c r="AZ25" s="10">
        <v>10</v>
      </c>
      <c r="BA25" s="9">
        <v>9.61</v>
      </c>
      <c r="BB25" s="10">
        <v>10</v>
      </c>
      <c r="BC25" s="9">
        <v>3.11</v>
      </c>
      <c r="BD25" s="11">
        <v>10</v>
      </c>
      <c r="BE25" s="9">
        <v>1.07</v>
      </c>
      <c r="BF25" s="10">
        <v>10</v>
      </c>
      <c r="BG25" s="9">
        <v>4.18</v>
      </c>
      <c r="BH25" s="10">
        <v>10</v>
      </c>
      <c r="BI25" s="9">
        <v>0.24</v>
      </c>
      <c r="BJ25" s="10">
        <v>10</v>
      </c>
      <c r="BK25" s="9">
        <v>1.07</v>
      </c>
      <c r="BL25" s="10"/>
      <c r="BM25" s="52"/>
      <c r="EJ25" s="6"/>
      <c r="EK25" s="6"/>
    </row>
    <row r="26" spans="1:141" ht="16.5" customHeight="1">
      <c r="A26" s="55" t="s">
        <v>110</v>
      </c>
      <c r="B26" s="182"/>
      <c r="C26" s="54"/>
      <c r="D26" s="81" t="s">
        <v>32</v>
      </c>
      <c r="E26" s="61" t="s">
        <v>108</v>
      </c>
      <c r="F26" s="59"/>
      <c r="G26" s="15"/>
      <c r="H26" s="23"/>
      <c r="I26" s="23"/>
      <c r="J26" s="23"/>
      <c r="K26" s="68"/>
      <c r="L26" s="2"/>
      <c r="M26" s="2"/>
      <c r="N26" s="2"/>
      <c r="O26" s="13"/>
      <c r="P26" s="24">
        <v>15</v>
      </c>
      <c r="Q26" s="22">
        <f>IF($C$8=0,0,IF(AND($C$8&gt;=1,$C$8&lt;2),AH26,IF($C$8=2,AY26,"&gt; 2 appl.")))</f>
        <v>0.2</v>
      </c>
      <c r="R26" s="10">
        <v>15</v>
      </c>
      <c r="S26" s="22">
        <f>IF($C$8=0,0,IF(AND($C$8&gt;=1,$C$8&lt;2),AJ26,IF($C$8=2,BA26,"&gt; 2 appl.")))</f>
        <v>5.55</v>
      </c>
      <c r="T26" s="10">
        <v>15</v>
      </c>
      <c r="U26" s="22">
        <f>IF($C$8=0,0,IF(AND($C$8&gt;=1,$C$8&lt;2),AL26,IF($C$8=2,BC26,"&gt; 2 appl.")))</f>
        <v>1.81</v>
      </c>
      <c r="V26" s="10">
        <v>15</v>
      </c>
      <c r="W26" s="22">
        <f>IF($C$8=0,0,IF(AND($C$8&gt;=1,$C$8&lt;2),AN26,IF($C$8=2,BE26,"&gt; 2 appl.")))</f>
        <v>0.65</v>
      </c>
      <c r="X26" s="10">
        <v>15</v>
      </c>
      <c r="Y26" s="22">
        <f>IF($C$8=0,0,IF(AND($C$8&gt;=1,$C$8&lt;2),AP26,IF($C$8=2,BG26,"&gt; 2 appl.")))</f>
        <v>3.84</v>
      </c>
      <c r="Z26" s="24">
        <v>15</v>
      </c>
      <c r="AA26" s="22">
        <f>IF($C$8=0,0,IF(AND($C$8&gt;=1,$C$8&lt;2),AR26,IF($C$8=2,BI26,"&gt; 2 appl.")))</f>
        <v>0.2</v>
      </c>
      <c r="AB26" s="10">
        <v>15</v>
      </c>
      <c r="AC26" s="22">
        <f>IF($C$8=0,0,IF(AND($C$8&gt;=1,$C$8&lt;2),AT26,IF($C$8=2,BK26,"&gt; 2 appl.")))</f>
        <v>0.65</v>
      </c>
      <c r="AD26" s="10">
        <v>15</v>
      </c>
      <c r="AE26" s="22">
        <f>IF($C$8=0,0,IF(AND($C$8&gt;=1,$C$8&lt;2),AV26,IF($C$8=2,AV26,"&gt; 2 appl.")))</f>
        <v>0.008</v>
      </c>
      <c r="AF26" s="17"/>
      <c r="AG26" s="24">
        <v>15</v>
      </c>
      <c r="AH26" s="25">
        <v>0.2</v>
      </c>
      <c r="AI26" s="10">
        <v>15</v>
      </c>
      <c r="AJ26" s="9">
        <v>5.55</v>
      </c>
      <c r="AK26" s="10">
        <v>15</v>
      </c>
      <c r="AL26" s="9">
        <v>1.81</v>
      </c>
      <c r="AM26" s="11">
        <v>15</v>
      </c>
      <c r="AN26" s="9">
        <v>0.65</v>
      </c>
      <c r="AO26" s="10">
        <v>15</v>
      </c>
      <c r="AP26" s="9">
        <v>3.84</v>
      </c>
      <c r="AQ26" s="10">
        <v>15</v>
      </c>
      <c r="AR26" s="9">
        <v>0.2</v>
      </c>
      <c r="AS26" s="10">
        <v>15</v>
      </c>
      <c r="AT26" s="9">
        <v>0.65</v>
      </c>
      <c r="AU26" s="10">
        <v>15</v>
      </c>
      <c r="AV26" s="52">
        <v>0.008</v>
      </c>
      <c r="AX26" s="24">
        <v>15</v>
      </c>
      <c r="AY26" s="25">
        <v>0.16</v>
      </c>
      <c r="AZ26" s="10">
        <v>15</v>
      </c>
      <c r="BA26" s="9">
        <v>5.55</v>
      </c>
      <c r="BB26" s="10">
        <v>15</v>
      </c>
      <c r="BC26" s="9">
        <v>1.58</v>
      </c>
      <c r="BD26" s="11">
        <v>15</v>
      </c>
      <c r="BE26" s="9">
        <v>0.56</v>
      </c>
      <c r="BF26" s="10">
        <v>15</v>
      </c>
      <c r="BG26" s="9">
        <v>2.57</v>
      </c>
      <c r="BH26" s="10">
        <v>15</v>
      </c>
      <c r="BI26" s="9">
        <v>0.16</v>
      </c>
      <c r="BJ26" s="10">
        <v>15</v>
      </c>
      <c r="BK26" s="9">
        <v>0.56</v>
      </c>
      <c r="BL26" s="10"/>
      <c r="BM26" s="52"/>
      <c r="EJ26" s="6"/>
      <c r="EK26" s="6"/>
    </row>
    <row r="27" spans="1:141" ht="14.25" customHeight="1">
      <c r="A27" s="216" t="s">
        <v>107</v>
      </c>
      <c r="B27" s="183"/>
      <c r="C27" s="54"/>
      <c r="D27" s="54"/>
      <c r="E27" s="181"/>
      <c r="F27" s="59"/>
      <c r="G27" s="15"/>
      <c r="H27" s="23"/>
      <c r="I27" s="23"/>
      <c r="J27" s="23"/>
      <c r="K27" s="68"/>
      <c r="L27" s="2"/>
      <c r="M27" s="2"/>
      <c r="N27" s="2"/>
      <c r="O27" s="13"/>
      <c r="P27" s="24">
        <v>20</v>
      </c>
      <c r="Q27" s="22">
        <f>IF($C$8=0,0,IF(AND($C$8&gt;=1,$C$8&lt;2),AH27,IF($C$8=2,AY27,"&gt; 2 appl.")))</f>
        <v>0.15</v>
      </c>
      <c r="R27" s="10">
        <v>20</v>
      </c>
      <c r="S27" s="22">
        <f>IF($C$8=0,0,IF(AND($C$8&gt;=1,$C$8&lt;2),AJ27,IF($C$8=2,BA27,"&gt; 2 appl.")))</f>
        <v>2.77</v>
      </c>
      <c r="T27" s="10">
        <v>20</v>
      </c>
      <c r="U27" s="22">
        <f>IF($C$8=0,0,IF(AND($C$8&gt;=1,$C$8&lt;2),AL27,IF($C$8=2,BC27,"&gt; 2 appl.")))</f>
        <v>1.09</v>
      </c>
      <c r="V27" s="10">
        <v>20</v>
      </c>
      <c r="W27" s="22">
        <f>IF($C$8=0,0,IF(AND($C$8&gt;=1,$C$8&lt;2),AN27,IF($C$8=2,BE27,"&gt; 2 appl.")))</f>
        <v>0.42</v>
      </c>
      <c r="X27" s="10">
        <v>20</v>
      </c>
      <c r="Y27" s="22">
        <f>IF($C$8=0,0,IF(AND($C$8&gt;=1,$C$8&lt;2),AP27,IF($C$8=2,BG27,"&gt; 2 appl.")))</f>
        <v>1.79</v>
      </c>
      <c r="Z27" s="24">
        <v>20</v>
      </c>
      <c r="AA27" s="22">
        <f>IF($C$8=0,0,IF(AND($C$8&gt;=1,$C$8&lt;2),AR27,IF($C$8=2,BI27,"&gt; 2 appl.")))</f>
        <v>0.15</v>
      </c>
      <c r="AB27" s="10">
        <v>20</v>
      </c>
      <c r="AC27" s="22">
        <f>IF($C$8=0,0,IF(AND($C$8&gt;=1,$C$8&lt;2),AT27,IF($C$8=2,BK27,"&gt; 2 appl.")))</f>
        <v>0.42</v>
      </c>
      <c r="AD27" s="10">
        <v>20</v>
      </c>
      <c r="AE27" s="22">
        <f>IF($C$8=0,0,IF(AND($C$8&gt;=1,$C$8&lt;2),AV27,IF($C$8=2,AV27,"&gt; 2 appl.")))</f>
        <v>0.007</v>
      </c>
      <c r="AF27" s="17"/>
      <c r="AG27" s="24">
        <v>20</v>
      </c>
      <c r="AH27" s="25">
        <v>0.15</v>
      </c>
      <c r="AI27" s="10">
        <v>20</v>
      </c>
      <c r="AJ27" s="9">
        <v>2.77</v>
      </c>
      <c r="AK27" s="10">
        <v>20</v>
      </c>
      <c r="AL27" s="9">
        <v>1.09</v>
      </c>
      <c r="AM27" s="11">
        <v>20</v>
      </c>
      <c r="AN27" s="9">
        <v>0.42</v>
      </c>
      <c r="AO27" s="10">
        <v>20</v>
      </c>
      <c r="AP27" s="9">
        <v>1.79</v>
      </c>
      <c r="AQ27" s="10">
        <v>20</v>
      </c>
      <c r="AR27" s="9">
        <v>0.15</v>
      </c>
      <c r="AS27" s="10">
        <v>20</v>
      </c>
      <c r="AT27" s="9">
        <v>0.42</v>
      </c>
      <c r="AU27" s="10">
        <v>20</v>
      </c>
      <c r="AV27" s="52">
        <v>0.007</v>
      </c>
      <c r="AX27" s="24">
        <v>20</v>
      </c>
      <c r="AY27" s="25">
        <v>0.12</v>
      </c>
      <c r="AZ27" s="10">
        <v>20</v>
      </c>
      <c r="BA27" s="9">
        <v>2.59</v>
      </c>
      <c r="BB27" s="10">
        <v>20</v>
      </c>
      <c r="BC27" s="9">
        <v>0.9</v>
      </c>
      <c r="BD27" s="11">
        <v>20</v>
      </c>
      <c r="BE27" s="9">
        <v>0.36</v>
      </c>
      <c r="BF27" s="10">
        <v>20</v>
      </c>
      <c r="BG27" s="9">
        <v>1.21</v>
      </c>
      <c r="BH27" s="10">
        <v>20</v>
      </c>
      <c r="BI27" s="9">
        <v>0.12</v>
      </c>
      <c r="BJ27" s="10">
        <v>20</v>
      </c>
      <c r="BK27" s="9">
        <v>0.36</v>
      </c>
      <c r="BL27" s="10"/>
      <c r="BM27" s="52"/>
      <c r="EJ27" s="6"/>
      <c r="EK27" s="6"/>
    </row>
    <row r="28" spans="1:141" ht="12.75" customHeight="1" thickBot="1">
      <c r="A28" s="146" t="s">
        <v>36</v>
      </c>
      <c r="B28" s="184"/>
      <c r="C28" s="58"/>
      <c r="D28" s="58"/>
      <c r="E28" s="184"/>
      <c r="F28" s="65"/>
      <c r="G28" s="15"/>
      <c r="H28" s="23"/>
      <c r="I28" s="23"/>
      <c r="J28" s="23"/>
      <c r="K28" s="68"/>
      <c r="L28" s="2"/>
      <c r="M28" s="2"/>
      <c r="N28" s="2"/>
      <c r="O28" s="13"/>
      <c r="Q28" s="6"/>
      <c r="AF28" s="17"/>
      <c r="AG28" s="17"/>
      <c r="AH28" s="17"/>
      <c r="AX28" s="5"/>
      <c r="AY28" s="5"/>
      <c r="EJ28" s="6"/>
      <c r="EK28" s="6"/>
    </row>
    <row r="29" spans="7:141" ht="12.75">
      <c r="G29" s="2"/>
      <c r="H29" s="23"/>
      <c r="I29" s="23"/>
      <c r="J29" s="68"/>
      <c r="K29" s="68"/>
      <c r="L29" s="2"/>
      <c r="M29" s="2"/>
      <c r="N29" s="2"/>
      <c r="O29" s="13"/>
      <c r="P29" s="21"/>
      <c r="Q29" s="22"/>
      <c r="R29" s="16"/>
      <c r="S29" s="7"/>
      <c r="T29" s="16"/>
      <c r="V29" s="20"/>
      <c r="W29" s="8"/>
      <c r="X29" s="16"/>
      <c r="Y29" s="7"/>
      <c r="Z29" s="16"/>
      <c r="AA29" s="7"/>
      <c r="AB29" s="16"/>
      <c r="AC29" s="7"/>
      <c r="AD29" s="16"/>
      <c r="AE29" s="7"/>
      <c r="AF29" s="17"/>
      <c r="AG29" s="17"/>
      <c r="AH29" s="17"/>
      <c r="AX29" s="5"/>
      <c r="AY29" s="5"/>
      <c r="EJ29" s="6"/>
      <c r="EK29" s="6"/>
    </row>
    <row r="30" spans="1:141" ht="15.75">
      <c r="A30" s="251" t="str">
        <f>"Estimation of bystander exposure during/after application in "&amp;E5</f>
        <v>Estimation of bystander exposure during/after application in </v>
      </c>
      <c r="B30" s="251"/>
      <c r="C30" s="251"/>
      <c r="D30" s="251"/>
      <c r="E30" s="251"/>
      <c r="F30" s="251"/>
      <c r="G30" s="2"/>
      <c r="H30" s="2"/>
      <c r="I30" s="13"/>
      <c r="J30" s="13"/>
      <c r="K30" s="13"/>
      <c r="L30" s="13"/>
      <c r="M30" s="13"/>
      <c r="P30" s="21"/>
      <c r="Q30" s="22"/>
      <c r="R30" s="16"/>
      <c r="S30" s="7"/>
      <c r="T30" s="16"/>
      <c r="U30" s="7"/>
      <c r="V30" s="20"/>
      <c r="W30" s="8"/>
      <c r="X30" s="16"/>
      <c r="Y30" s="7"/>
      <c r="Z30" s="16"/>
      <c r="AA30" s="7"/>
      <c r="AB30" s="16"/>
      <c r="AC30" s="7"/>
      <c r="AD30" s="16"/>
      <c r="AE30" s="7"/>
      <c r="AF30" s="17"/>
      <c r="AG30" s="17"/>
      <c r="AH30" s="17"/>
      <c r="AX30" s="5"/>
      <c r="AY30" s="5"/>
      <c r="EJ30" s="6"/>
      <c r="EK30" s="6"/>
    </row>
    <row r="31" spans="1:139" s="15" customFormat="1" ht="12.75">
      <c r="A31" s="6"/>
      <c r="B31" s="185"/>
      <c r="C31" s="6"/>
      <c r="D31" s="6"/>
      <c r="E31" s="185"/>
      <c r="F31" s="6"/>
      <c r="G31" s="2"/>
      <c r="H31" s="2"/>
      <c r="P31" s="69"/>
      <c r="Q31" s="70"/>
      <c r="R31" s="71"/>
      <c r="S31" s="72"/>
      <c r="T31" s="71"/>
      <c r="U31" s="72"/>
      <c r="V31" s="3"/>
      <c r="W31" s="73"/>
      <c r="X31" s="71"/>
      <c r="Y31" s="72"/>
      <c r="Z31" s="71"/>
      <c r="AA31" s="72"/>
      <c r="AB31" s="71"/>
      <c r="AC31" s="72"/>
      <c r="AD31" s="71"/>
      <c r="AE31" s="72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</row>
    <row r="32" spans="1:141" ht="16.5" thickBot="1">
      <c r="A32" s="262" t="s">
        <v>41</v>
      </c>
      <c r="B32" s="262"/>
      <c r="C32" s="262"/>
      <c r="D32" s="262"/>
      <c r="E32" s="262"/>
      <c r="F32" s="262"/>
      <c r="G32" s="2"/>
      <c r="H32" s="2"/>
      <c r="I32" s="13"/>
      <c r="J32" s="13"/>
      <c r="K32" s="13"/>
      <c r="L32" s="13"/>
      <c r="M32" s="13"/>
      <c r="P32" s="10"/>
      <c r="Q32" s="10"/>
      <c r="R32" s="10"/>
      <c r="S32" s="11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7"/>
      <c r="AG32" s="17"/>
      <c r="AH32" s="17"/>
      <c r="AX32" s="5"/>
      <c r="AY32" s="5"/>
      <c r="EJ32" s="6"/>
      <c r="EK32" s="6"/>
    </row>
    <row r="33" spans="1:141" ht="12.75">
      <c r="A33" s="147" t="s">
        <v>42</v>
      </c>
      <c r="B33" s="265">
        <f>B5</f>
        <v>0</v>
      </c>
      <c r="C33" s="266"/>
      <c r="D33" s="147" t="s">
        <v>43</v>
      </c>
      <c r="E33" s="207">
        <f>E24</f>
      </c>
      <c r="F33" s="148">
        <f>F24</f>
      </c>
      <c r="G33" s="2"/>
      <c r="H33" s="2"/>
      <c r="P33" s="10"/>
      <c r="Q33" s="10"/>
      <c r="R33" s="10"/>
      <c r="S33" s="27" t="s">
        <v>32</v>
      </c>
      <c r="T33" s="10"/>
      <c r="U33" s="10"/>
      <c r="V33" s="10"/>
      <c r="W33" s="10"/>
      <c r="X33" s="10"/>
      <c r="Y33" s="10">
        <f>IF(S33=S34,1,IF(S33=S35,2,IF(S33=S36,3,IF(S33=S37,4,IF(S33=S38,5,IF(S33=S39,6,IF(S33=S40,7,0)))))))</f>
        <v>0</v>
      </c>
      <c r="Z33" s="10"/>
      <c r="AA33" s="28">
        <f>IF(AA34&lt;&gt;"",VALUE(AA34),0)</f>
        <v>0</v>
      </c>
      <c r="AB33" s="10"/>
      <c r="AC33" s="10"/>
      <c r="AD33" s="10"/>
      <c r="AE33" s="10"/>
      <c r="AF33" s="17"/>
      <c r="AG33" s="17"/>
      <c r="AH33" s="17"/>
      <c r="AX33" s="5"/>
      <c r="AY33" s="5"/>
      <c r="EJ33" s="6"/>
      <c r="EK33" s="6"/>
    </row>
    <row r="34" spans="1:141" ht="12.75">
      <c r="A34" s="263" t="s">
        <v>44</v>
      </c>
      <c r="B34" s="267">
        <f>C7</f>
        <v>0</v>
      </c>
      <c r="C34" s="223" t="s">
        <v>53</v>
      </c>
      <c r="D34" s="263" t="s">
        <v>45</v>
      </c>
      <c r="E34" s="188">
        <v>1</v>
      </c>
      <c r="F34" s="149" t="s">
        <v>56</v>
      </c>
      <c r="G34" s="2"/>
      <c r="H34" s="2"/>
      <c r="P34" s="10"/>
      <c r="Q34" s="10"/>
      <c r="R34" s="10"/>
      <c r="S34" s="29" t="s">
        <v>8</v>
      </c>
      <c r="T34" s="10"/>
      <c r="U34" s="10"/>
      <c r="V34" s="10"/>
      <c r="W34" s="10"/>
      <c r="X34" s="10"/>
      <c r="Y34" s="30">
        <v>1</v>
      </c>
      <c r="Z34" s="10"/>
      <c r="AA34" s="28" t="s">
        <v>32</v>
      </c>
      <c r="AB34" s="10"/>
      <c r="AC34" s="10"/>
      <c r="AD34" s="10"/>
      <c r="AE34" s="10"/>
      <c r="AF34" s="17"/>
      <c r="AG34" s="17"/>
      <c r="AH34" s="17"/>
      <c r="AX34" s="5"/>
      <c r="AY34" s="5"/>
      <c r="EJ34" s="6"/>
      <c r="EK34" s="6"/>
    </row>
    <row r="35" spans="1:141" ht="12.75">
      <c r="A35" s="264"/>
      <c r="B35" s="268"/>
      <c r="C35" s="224"/>
      <c r="D35" s="264"/>
      <c r="E35" s="188">
        <v>0.21</v>
      </c>
      <c r="F35" s="149" t="s">
        <v>57</v>
      </c>
      <c r="G35" s="2"/>
      <c r="H35" s="2"/>
      <c r="P35" s="10"/>
      <c r="Q35" s="10"/>
      <c r="R35" s="10"/>
      <c r="S35" s="29" t="s">
        <v>9</v>
      </c>
      <c r="T35" s="10"/>
      <c r="U35" s="10"/>
      <c r="V35" s="10"/>
      <c r="W35" s="10"/>
      <c r="X35" s="10"/>
      <c r="Y35" s="30">
        <v>2</v>
      </c>
      <c r="Z35" s="10"/>
      <c r="AA35" s="10">
        <f>IF($Y$33=1,R23,IF($Y$33=2,T23,IF($Y$33=3,V23,IF($Y$33=4,X23,IF($Y$33=5,Z23,IF($Y$33=6,AB23,IF($Y$33=7,AD23,0)))))))</f>
        <v>0</v>
      </c>
      <c r="AB35" s="9">
        <f>IF($Y$33=1,S23,IF($Y$33=2,U23,IF($Y$33=3,W23,IF($Y$33=4,Y23,IF($Y$33=5,AA23,IF($Y$33=6,AC23,IF($Y$33=7,AE23,0)))))))</f>
        <v>0</v>
      </c>
      <c r="AC35" s="9">
        <f>IF($Y$33=1,AJ23,IF($Y$33=2,AL23,IF($Y$33=3,AN23,IF($Y$33=4,AP23,IF($Y$33=5,AR23,IF($Y$33=6,AT23,IF($Y$33=7,AV23,0)))))))</f>
        <v>0</v>
      </c>
      <c r="AD35" s="10"/>
      <c r="AE35" s="10"/>
      <c r="AF35" s="17"/>
      <c r="AG35" s="17"/>
      <c r="AH35" s="17"/>
      <c r="AS35" s="6"/>
      <c r="AX35" s="5"/>
      <c r="AY35" s="5"/>
      <c r="EJ35" s="6"/>
      <c r="EK35" s="6"/>
    </row>
    <row r="36" spans="1:141" ht="25.5">
      <c r="A36" s="229" t="s">
        <v>46</v>
      </c>
      <c r="B36" s="188">
        <f>C15</f>
        <v>60</v>
      </c>
      <c r="C36" s="149" t="s">
        <v>97</v>
      </c>
      <c r="D36" s="229" t="s">
        <v>96</v>
      </c>
      <c r="E36" s="188">
        <f>IF(S4=1,0.001,IF(S4=2,0.018,IF(OR(S4=3,S4=4),0.3,0)))</f>
        <v>0</v>
      </c>
      <c r="F36" s="150" t="s">
        <v>77</v>
      </c>
      <c r="G36" s="2"/>
      <c r="H36" s="2"/>
      <c r="P36" s="10"/>
      <c r="Q36" s="10"/>
      <c r="R36" s="10"/>
      <c r="S36" s="29" t="s">
        <v>17</v>
      </c>
      <c r="T36" s="10"/>
      <c r="U36" s="10"/>
      <c r="V36" s="10"/>
      <c r="W36" s="10"/>
      <c r="X36" s="10"/>
      <c r="Y36" s="30">
        <v>3</v>
      </c>
      <c r="Z36" s="10"/>
      <c r="AA36" s="10">
        <f>IF($Y$33=1,R24,IF($Y$33=2,T24,IF($Y$33=3,V24,IF($Y$33=4,X24,IF($Y$33=5,Z24,IF($Y$33=6,AB24,IF($Y$33=7,AD24,0)))))))</f>
        <v>0</v>
      </c>
      <c r="AB36" s="9">
        <f>IF($Y$33=1,S24,IF($Y$33=2,U24,IF($Y$33=3,W24,IF($Y$33=4,Y24,IF($Y$33=5,AA24,IF($Y$33=6,AC24,IF($Y$33=7,AE24,0)))))))</f>
        <v>0</v>
      </c>
      <c r="AC36" s="9">
        <f>IF($Y$33=1,AJ24,IF($Y$33=2,AL24,IF($Y$33=3,AN24,IF($Y$33=4,AP24,IF($Y$33=5,AR24,IF($Y$33=6,AT24,IF($Y$33=7,AV24,0)))))))</f>
        <v>0</v>
      </c>
      <c r="AD36" s="10"/>
      <c r="AE36" s="29"/>
      <c r="AF36" s="17"/>
      <c r="AG36" s="17"/>
      <c r="AH36" s="17"/>
      <c r="AX36" s="5"/>
      <c r="AY36" s="5"/>
      <c r="EJ36" s="6"/>
      <c r="EK36" s="6"/>
    </row>
    <row r="37" spans="1:141" ht="25.5">
      <c r="A37" s="229"/>
      <c r="B37" s="187">
        <f>C16</f>
        <v>16.15</v>
      </c>
      <c r="C37" s="114" t="s">
        <v>54</v>
      </c>
      <c r="D37" s="229"/>
      <c r="E37" s="208">
        <f>E36/1.74</f>
        <v>0</v>
      </c>
      <c r="F37" s="151" t="s">
        <v>78</v>
      </c>
      <c r="G37" s="2"/>
      <c r="H37" s="2"/>
      <c r="P37" s="10"/>
      <c r="Q37" s="10"/>
      <c r="R37" s="10"/>
      <c r="S37" s="29" t="s">
        <v>10</v>
      </c>
      <c r="T37" s="10"/>
      <c r="U37" s="29"/>
      <c r="V37" s="10"/>
      <c r="W37" s="29"/>
      <c r="X37" s="10"/>
      <c r="Y37" s="30">
        <v>4</v>
      </c>
      <c r="Z37" s="29"/>
      <c r="AA37" s="10">
        <f aca="true" t="shared" si="0" ref="AA37:AB39">IF($Y$33=1,R25,IF($Y$33=2,T25,IF($Y$33=3,V25,IF($Y$33=4,X25,IF($Y$33=5,Z25,IF($Y$33=6,AB25,IF($Y$33=7,AD25,0)))))))</f>
        <v>0</v>
      </c>
      <c r="AB37" s="9">
        <f t="shared" si="0"/>
        <v>0</v>
      </c>
      <c r="AC37" s="9">
        <f>IF($Y$33=1,AJ25,IF($Y$33=2,AL25,IF($Y$33=3,AN25,IF($Y$33=4,AP25,IF($Y$33=5,AR25,IF($Y$33=6,AT25,IF($Y$33=7,AV25,0)))))))</f>
        <v>0</v>
      </c>
      <c r="AD37" s="29"/>
      <c r="AE37" s="29"/>
      <c r="AF37" s="17"/>
      <c r="AG37" s="17"/>
      <c r="AH37" s="17"/>
      <c r="AX37" s="5"/>
      <c r="AY37" s="5"/>
      <c r="EJ37" s="6"/>
      <c r="EK37" s="6"/>
    </row>
    <row r="38" spans="1:141" ht="12.75">
      <c r="A38" s="135" t="s">
        <v>51</v>
      </c>
      <c r="B38" s="189">
        <f>C11</f>
        <v>0</v>
      </c>
      <c r="C38" s="149" t="s">
        <v>112</v>
      </c>
      <c r="D38" s="135" t="s">
        <v>47</v>
      </c>
      <c r="E38" s="188">
        <f>C6</f>
        <v>0</v>
      </c>
      <c r="F38" s="149" t="str">
        <f>"ha/d (based on "&amp;E5&amp;")"</f>
        <v>ha/d (based on )</v>
      </c>
      <c r="G38" s="2"/>
      <c r="H38" s="2"/>
      <c r="I38" s="2"/>
      <c r="J38" s="15"/>
      <c r="K38" s="15"/>
      <c r="L38" s="68"/>
      <c r="M38" s="23"/>
      <c r="N38" s="23"/>
      <c r="O38" s="13"/>
      <c r="P38" s="10"/>
      <c r="Q38" s="10"/>
      <c r="R38" s="10"/>
      <c r="S38" s="29" t="s">
        <v>22</v>
      </c>
      <c r="T38" s="29"/>
      <c r="U38" s="29"/>
      <c r="V38" s="29"/>
      <c r="W38" s="29"/>
      <c r="X38" s="29"/>
      <c r="Y38" s="30">
        <v>5</v>
      </c>
      <c r="Z38" s="29"/>
      <c r="AA38" s="10">
        <f t="shared" si="0"/>
        <v>0</v>
      </c>
      <c r="AB38" s="9">
        <f t="shared" si="0"/>
        <v>0</v>
      </c>
      <c r="AC38" s="9">
        <f>IF($Y$33=1,AJ26,IF($Y$33=2,AL26,IF($Y$33=3,AN26,IF($Y$33=4,AP26,IF($Y$33=5,AR26,IF($Y$33=6,AT26,IF($Y$33=7,AV26,0)))))))</f>
        <v>0</v>
      </c>
      <c r="AD38" s="29"/>
      <c r="AE38" s="29"/>
      <c r="AF38" s="17"/>
      <c r="AG38" s="17"/>
      <c r="AH38" s="17"/>
      <c r="AX38" s="5"/>
      <c r="AY38" s="5"/>
      <c r="EJ38" s="6"/>
      <c r="EK38" s="6"/>
    </row>
    <row r="39" spans="1:141" ht="25.5">
      <c r="A39" s="135" t="s">
        <v>52</v>
      </c>
      <c r="B39" s="190">
        <f>C12</f>
        <v>100</v>
      </c>
      <c r="C39" s="152" t="s">
        <v>55</v>
      </c>
      <c r="D39" s="135" t="s">
        <v>59</v>
      </c>
      <c r="E39" s="188">
        <v>5</v>
      </c>
      <c r="F39" s="149" t="s">
        <v>58</v>
      </c>
      <c r="G39" s="2"/>
      <c r="H39" s="2"/>
      <c r="I39" s="2"/>
      <c r="J39" s="15"/>
      <c r="K39" s="15"/>
      <c r="L39" s="68"/>
      <c r="M39" s="23"/>
      <c r="N39" s="23"/>
      <c r="O39" s="13"/>
      <c r="P39" s="10"/>
      <c r="Q39" s="10"/>
      <c r="R39" s="10"/>
      <c r="S39" s="29" t="s">
        <v>23</v>
      </c>
      <c r="T39" s="29"/>
      <c r="U39" s="29"/>
      <c r="V39" s="29"/>
      <c r="W39" s="29"/>
      <c r="X39" s="29"/>
      <c r="Y39" s="30">
        <v>6</v>
      </c>
      <c r="Z39" s="10"/>
      <c r="AA39" s="10">
        <f>IF($Y$33=1,R27,IF($Y$33=2,T27,IF($Y$33=3,V27,IF($Y$33=4,X27,IF($Y$33=5,Z27,IF($Y$33=6,AB27,IF($Y$33=7,AD27,0)))))))</f>
        <v>0</v>
      </c>
      <c r="AB39" s="9">
        <f t="shared" si="0"/>
        <v>0</v>
      </c>
      <c r="AC39" s="9">
        <f>IF($Y$33=1,AJ27,IF($Y$33=2,AL27,IF($Y$33=3,AN27,IF($Y$33=4,AP27,IF($Y$33=5,AR27,IF($Y$33=6,AT27,IF($Y$33=7,AV27,0)))))))</f>
        <v>0</v>
      </c>
      <c r="AD39" s="10"/>
      <c r="AE39" s="10"/>
      <c r="AF39" s="17"/>
      <c r="AG39" s="17"/>
      <c r="AH39" s="17"/>
      <c r="AX39" s="5"/>
      <c r="AY39" s="5"/>
      <c r="EJ39" s="6"/>
      <c r="EK39" s="6"/>
    </row>
    <row r="40" spans="1:141" ht="13.5" thickBot="1">
      <c r="A40" s="153" t="s">
        <v>95</v>
      </c>
      <c r="B40" s="191">
        <f>C14</f>
        <v>0</v>
      </c>
      <c r="C40" s="154" t="s">
        <v>12</v>
      </c>
      <c r="D40" s="153"/>
      <c r="E40" s="209"/>
      <c r="F40" s="155"/>
      <c r="G40" s="2"/>
      <c r="H40" s="2"/>
      <c r="I40" s="2"/>
      <c r="J40" s="15"/>
      <c r="K40" s="15"/>
      <c r="L40" s="68"/>
      <c r="M40" s="23"/>
      <c r="N40" s="23"/>
      <c r="O40" s="13"/>
      <c r="P40" s="10"/>
      <c r="Q40" s="10"/>
      <c r="R40" s="10"/>
      <c r="S40" s="29" t="s">
        <v>18</v>
      </c>
      <c r="T40" s="10"/>
      <c r="U40" s="10"/>
      <c r="V40" s="10"/>
      <c r="W40" s="10"/>
      <c r="X40" s="10"/>
      <c r="Y40" s="30">
        <v>7</v>
      </c>
      <c r="Z40" s="10"/>
      <c r="AC40" s="10"/>
      <c r="AD40" s="10"/>
      <c r="AE40" s="10"/>
      <c r="AF40" s="17"/>
      <c r="AG40" s="17"/>
      <c r="AH40" s="17"/>
      <c r="AX40" s="5"/>
      <c r="AY40" s="5"/>
      <c r="BQ40" s="172"/>
      <c r="EJ40" s="6"/>
      <c r="EK40" s="6"/>
    </row>
    <row r="41" spans="7:141" ht="13.5" thickBot="1">
      <c r="G41" s="2"/>
      <c r="H41" s="2"/>
      <c r="I41" s="2"/>
      <c r="J41" s="15"/>
      <c r="K41" s="15"/>
      <c r="L41" s="68"/>
      <c r="M41" s="23"/>
      <c r="N41" s="23"/>
      <c r="O41" s="13"/>
      <c r="Q41" s="6"/>
      <c r="AF41" s="17"/>
      <c r="AG41" s="17"/>
      <c r="AH41" s="17"/>
      <c r="AX41" s="5"/>
      <c r="AY41" s="5"/>
      <c r="EJ41" s="6"/>
      <c r="EK41" s="6"/>
    </row>
    <row r="42" spans="1:141" ht="13.5" thickBot="1">
      <c r="A42" s="226" t="str">
        <f>"Bystander exposure towards "&amp;D3</f>
        <v>Bystander exposure towards </v>
      </c>
      <c r="B42" s="227"/>
      <c r="C42" s="227"/>
      <c r="D42" s="227"/>
      <c r="E42" s="227"/>
      <c r="F42" s="228"/>
      <c r="G42" s="2"/>
      <c r="H42" s="2"/>
      <c r="I42" s="2"/>
      <c r="J42" s="15"/>
      <c r="K42" s="15"/>
      <c r="L42" s="68"/>
      <c r="M42" s="23"/>
      <c r="N42" s="23"/>
      <c r="O42" s="13"/>
      <c r="Q42" s="6"/>
      <c r="AF42" s="17"/>
      <c r="AG42" s="17"/>
      <c r="AH42" s="17"/>
      <c r="AX42" s="5"/>
      <c r="AY42" s="5"/>
      <c r="EJ42" s="6"/>
      <c r="EK42" s="6"/>
    </row>
    <row r="43" spans="1:141" ht="15.75">
      <c r="A43" s="258" t="s">
        <v>14</v>
      </c>
      <c r="B43" s="259"/>
      <c r="C43" s="260"/>
      <c r="D43" s="261" t="s">
        <v>15</v>
      </c>
      <c r="E43" s="259"/>
      <c r="F43" s="260"/>
      <c r="G43" s="2"/>
      <c r="H43" s="2"/>
      <c r="I43" s="2"/>
      <c r="J43" s="15"/>
      <c r="K43" s="15"/>
      <c r="L43" s="68"/>
      <c r="M43" s="23"/>
      <c r="N43" s="23"/>
      <c r="O43" s="13"/>
      <c r="Q43" s="6"/>
      <c r="AF43" s="17"/>
      <c r="AG43" s="17"/>
      <c r="AH43" s="17"/>
      <c r="AX43" s="5"/>
      <c r="AY43" s="5"/>
      <c r="BV43" s="257"/>
      <c r="BW43" s="257"/>
      <c r="BX43" s="257"/>
      <c r="BY43" s="257"/>
      <c r="BZ43" s="257"/>
      <c r="CA43" s="257"/>
      <c r="EJ43" s="6"/>
      <c r="EK43" s="6"/>
    </row>
    <row r="44" spans="1:141" ht="12.75">
      <c r="A44" s="229" t="str">
        <f>"Bystander: Dermal exposure after application in "&amp;B5&amp;" (via spray drift)"</f>
        <v>Bystander: Dermal exposure after application in  (via spray drift)</v>
      </c>
      <c r="B44" s="230"/>
      <c r="C44" s="230"/>
      <c r="D44" s="230"/>
      <c r="E44" s="230"/>
      <c r="F44" s="231"/>
      <c r="G44" s="2"/>
      <c r="H44" s="2"/>
      <c r="I44" s="2"/>
      <c r="J44" s="15"/>
      <c r="K44" s="15"/>
      <c r="L44" s="68"/>
      <c r="M44" s="23"/>
      <c r="N44" s="23"/>
      <c r="O44" s="13"/>
      <c r="P44" s="10">
        <v>1</v>
      </c>
      <c r="Q44" s="10"/>
      <c r="R44" s="10">
        <v>2</v>
      </c>
      <c r="S44" s="10"/>
      <c r="T44" s="10">
        <v>3</v>
      </c>
      <c r="U44" s="10"/>
      <c r="V44" s="10">
        <v>4</v>
      </c>
      <c r="W44" s="10"/>
      <c r="X44" s="10">
        <v>5</v>
      </c>
      <c r="Y44" s="10"/>
      <c r="Z44" s="10"/>
      <c r="AA44" s="10"/>
      <c r="AB44" s="10"/>
      <c r="AF44" s="17"/>
      <c r="AG44" s="17"/>
      <c r="AH44" s="17"/>
      <c r="AX44" s="5"/>
      <c r="AY44" s="5"/>
      <c r="EJ44" s="6"/>
      <c r="EK44" s="6"/>
    </row>
    <row r="45" spans="1:141" ht="12.75">
      <c r="A45" s="232" t="s">
        <v>79</v>
      </c>
      <c r="B45" s="233"/>
      <c r="C45" s="218"/>
      <c r="D45" s="219" t="s">
        <v>79</v>
      </c>
      <c r="E45" s="233"/>
      <c r="F45" s="218"/>
      <c r="G45" s="2"/>
      <c r="H45" s="2"/>
      <c r="I45" s="2"/>
      <c r="J45" s="15"/>
      <c r="K45" s="15"/>
      <c r="L45" s="68"/>
      <c r="M45" s="23"/>
      <c r="N45" s="23"/>
      <c r="O45" s="13"/>
      <c r="P45" s="222" t="s">
        <v>19</v>
      </c>
      <c r="Q45" s="222"/>
      <c r="R45" s="222" t="s">
        <v>20</v>
      </c>
      <c r="S45" s="222"/>
      <c r="T45" s="222" t="s">
        <v>24</v>
      </c>
      <c r="U45" s="222"/>
      <c r="V45" s="222" t="s">
        <v>21</v>
      </c>
      <c r="W45" s="222"/>
      <c r="X45" s="222" t="s">
        <v>25</v>
      </c>
      <c r="Y45" s="222"/>
      <c r="Z45" s="252"/>
      <c r="AA45" s="252"/>
      <c r="AB45" s="10"/>
      <c r="AF45" s="17"/>
      <c r="AG45" s="17"/>
      <c r="AH45" s="17"/>
      <c r="AX45" s="5"/>
      <c r="AY45" s="5"/>
      <c r="EJ45" s="6"/>
      <c r="EK45" s="6"/>
    </row>
    <row r="46" spans="1:141" ht="12.75">
      <c r="A46" s="232" t="str">
        <f>" ("&amp;C7*100&amp;" x "&amp;E24&amp;"% x "&amp;E34&amp;" x "&amp;C11&amp;"%) / "&amp;B36</f>
        <v> (0 x % x 1 x %) / 60</v>
      </c>
      <c r="B46" s="233"/>
      <c r="C46" s="218"/>
      <c r="D46" s="219" t="str">
        <f>" ("&amp;C7*100&amp;" x "&amp;E24&amp;"% x "&amp;E35&amp;" x "&amp;C11&amp;"%) / "&amp;B37</f>
        <v> (0 x % x 0,21 x %) / 16,15</v>
      </c>
      <c r="E46" s="233"/>
      <c r="F46" s="218"/>
      <c r="G46" s="2"/>
      <c r="H46" s="2"/>
      <c r="I46" s="2"/>
      <c r="J46" s="15"/>
      <c r="K46" s="15"/>
      <c r="L46" s="68"/>
      <c r="M46" s="23"/>
      <c r="N46" s="23"/>
      <c r="O46" s="13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10"/>
      <c r="AA46" s="10"/>
      <c r="AB46" s="10"/>
      <c r="AF46" s="17"/>
      <c r="AG46" s="17"/>
      <c r="AH46" s="17"/>
      <c r="AX46" s="5"/>
      <c r="AY46" s="5"/>
      <c r="EJ46" s="6"/>
      <c r="EK46" s="6"/>
    </row>
    <row r="47" spans="1:141" ht="12.75">
      <c r="A47" s="178" t="s">
        <v>102</v>
      </c>
      <c r="B47" s="186">
        <f>IF(B38&gt;0,B34*100*E33%*E34,0)</f>
        <v>0</v>
      </c>
      <c r="C47" s="137" t="s">
        <v>101</v>
      </c>
      <c r="D47" s="178" t="s">
        <v>102</v>
      </c>
      <c r="E47" s="186">
        <f>IF(B38&gt;0,B34*100*E33%*E35,0)</f>
        <v>0</v>
      </c>
      <c r="F47" s="137" t="s">
        <v>101</v>
      </c>
      <c r="G47" s="2"/>
      <c r="H47" s="2"/>
      <c r="I47" s="2"/>
      <c r="J47" s="15"/>
      <c r="K47" s="15"/>
      <c r="L47" s="68"/>
      <c r="M47" s="23"/>
      <c r="N47" s="23"/>
      <c r="O47" s="13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0"/>
      <c r="AA47" s="10"/>
      <c r="AB47" s="10"/>
      <c r="AF47" s="17"/>
      <c r="AG47" s="17"/>
      <c r="AH47" s="17"/>
      <c r="AX47" s="5"/>
      <c r="AY47" s="5"/>
      <c r="EJ47" s="6"/>
      <c r="EK47" s="6"/>
    </row>
    <row r="48" spans="1:141" ht="12.75">
      <c r="A48" s="178" t="s">
        <v>102</v>
      </c>
      <c r="B48" s="186">
        <f>IF(B38&gt;0,B34*100*E33%*E34/B36,0)</f>
        <v>0</v>
      </c>
      <c r="C48" s="137" t="s">
        <v>12</v>
      </c>
      <c r="D48" s="178" t="s">
        <v>102</v>
      </c>
      <c r="E48" s="186">
        <f>IF(B38&gt;0,B34*100*E33%*E35/B37,0)</f>
        <v>0</v>
      </c>
      <c r="F48" s="137" t="s">
        <v>12</v>
      </c>
      <c r="G48" s="2"/>
      <c r="H48" s="2"/>
      <c r="I48" s="2"/>
      <c r="J48" s="15"/>
      <c r="K48" s="15"/>
      <c r="L48" s="68"/>
      <c r="M48" s="23"/>
      <c r="N48" s="23"/>
      <c r="O48" s="13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0"/>
      <c r="AA48" s="10"/>
      <c r="AB48" s="10"/>
      <c r="AF48" s="17"/>
      <c r="AG48" s="17"/>
      <c r="AH48" s="17"/>
      <c r="AX48" s="5"/>
      <c r="AY48" s="5"/>
      <c r="EJ48" s="6"/>
      <c r="EK48" s="6"/>
    </row>
    <row r="49" spans="1:141" ht="13.5" thickBot="1">
      <c r="A49" s="158" t="s">
        <v>48</v>
      </c>
      <c r="B49" s="192">
        <f>IF(B38&gt;0,B34*100*E33%*E34*B38%/B36,0)</f>
        <v>0</v>
      </c>
      <c r="C49" s="159" t="s">
        <v>12</v>
      </c>
      <c r="D49" s="168" t="s">
        <v>48</v>
      </c>
      <c r="E49" s="192">
        <f>IF(B38&gt;0,B34*100*E33%*E35*B38%/B37,0)</f>
        <v>0</v>
      </c>
      <c r="F49" s="159" t="s">
        <v>12</v>
      </c>
      <c r="G49" s="2"/>
      <c r="H49" s="2"/>
      <c r="I49" s="2"/>
      <c r="J49" s="15"/>
      <c r="K49" s="15"/>
      <c r="L49" s="68"/>
      <c r="M49" s="23"/>
      <c r="N49" s="23"/>
      <c r="O49" s="13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F49" s="17"/>
      <c r="AG49" s="17"/>
      <c r="AH49" s="17"/>
      <c r="AX49" s="5"/>
      <c r="AY49" s="5"/>
      <c r="EJ49" s="6"/>
      <c r="EK49" s="6"/>
    </row>
    <row r="50" spans="1:141" ht="12.75">
      <c r="A50" s="258" t="str">
        <f>"Bystander: Inhalation  exposure after application in "&amp;B5</f>
        <v>Bystander: Inhalation  exposure after application in </v>
      </c>
      <c r="B50" s="259"/>
      <c r="C50" s="259"/>
      <c r="D50" s="259"/>
      <c r="E50" s="259"/>
      <c r="F50" s="260"/>
      <c r="G50" s="2"/>
      <c r="H50" s="2"/>
      <c r="I50" s="2"/>
      <c r="J50" s="15"/>
      <c r="K50" s="15"/>
      <c r="L50" s="68"/>
      <c r="M50" s="23"/>
      <c r="N50" s="23"/>
      <c r="O50" s="13"/>
      <c r="P50" s="21">
        <v>1</v>
      </c>
      <c r="Q50" s="22">
        <f>IF($C$8=0,0,IF(AND($C$8&gt;=1,$C$8&lt;2),AH50,IF($C$8=2,AY50,"&gt; 2 appl.")))</f>
        <v>0.42</v>
      </c>
      <c r="R50" s="16">
        <v>3</v>
      </c>
      <c r="S50" s="22">
        <f>IF($C$8=0,0,IF(AND($C$8&gt;=1,$C$8&lt;2),AJ50,IF($C$8=2,BA50,"&gt; 2 appl.")))</f>
        <v>3.53</v>
      </c>
      <c r="T50" s="16">
        <v>3</v>
      </c>
      <c r="U50" s="22">
        <f>IF($C$8=0,0,IF(AND($C$8&gt;=1,$C$8&lt;2),AL50,IF($C$8=2,BC50,"&gt; 2 appl.")))</f>
        <v>13.52</v>
      </c>
      <c r="V50" s="16">
        <v>3</v>
      </c>
      <c r="W50" s="22">
        <f>IF($C$8=0,0,IF(AND($C$8&gt;=1,$C$8&lt;2),AN50,IF($C$8=2,BE50,"&gt; 2 appl.")))</f>
        <v>38.09</v>
      </c>
      <c r="X50" s="16">
        <v>3</v>
      </c>
      <c r="Y50" s="22">
        <f>IF($C$8=0,0,IF(AND($C$8&gt;=1,$C$8&lt;2),AP50,IF($C$8=2,BG50,"&gt; 2 appl.")))</f>
        <v>0.72</v>
      </c>
      <c r="AF50" s="14"/>
      <c r="AG50" s="10">
        <v>1</v>
      </c>
      <c r="AH50" s="10">
        <v>0.42</v>
      </c>
      <c r="AI50" s="10">
        <v>3</v>
      </c>
      <c r="AJ50" s="9">
        <v>3.53</v>
      </c>
      <c r="AK50" s="10">
        <v>3</v>
      </c>
      <c r="AL50" s="10">
        <v>13.52</v>
      </c>
      <c r="AM50" s="10">
        <v>3</v>
      </c>
      <c r="AN50" s="9">
        <v>38.09</v>
      </c>
      <c r="AO50" s="10">
        <v>3</v>
      </c>
      <c r="AP50" s="10">
        <v>0.72</v>
      </c>
      <c r="AX50" s="10">
        <v>1</v>
      </c>
      <c r="AY50" s="9">
        <v>0.19</v>
      </c>
      <c r="AZ50" s="10">
        <v>3</v>
      </c>
      <c r="BA50" s="9">
        <v>2.12</v>
      </c>
      <c r="BB50" s="10">
        <v>3</v>
      </c>
      <c r="BC50" s="9">
        <v>9.11</v>
      </c>
      <c r="BD50" s="10">
        <v>3</v>
      </c>
      <c r="BE50" s="9">
        <v>27.75</v>
      </c>
      <c r="BF50" s="10">
        <v>3</v>
      </c>
      <c r="BG50" s="9">
        <v>0.52</v>
      </c>
      <c r="EJ50" s="6"/>
      <c r="EK50" s="6"/>
    </row>
    <row r="51" spans="1:141" ht="12.75">
      <c r="A51" s="232" t="s">
        <v>80</v>
      </c>
      <c r="B51" s="233"/>
      <c r="C51" s="218"/>
      <c r="D51" s="219" t="s">
        <v>80</v>
      </c>
      <c r="E51" s="233"/>
      <c r="F51" s="218"/>
      <c r="G51" s="2"/>
      <c r="H51" s="2"/>
      <c r="I51" s="2"/>
      <c r="J51" s="15"/>
      <c r="K51" s="15"/>
      <c r="L51" s="68"/>
      <c r="M51" s="23"/>
      <c r="N51" s="23"/>
      <c r="O51" s="13"/>
      <c r="P51" s="21">
        <v>5</v>
      </c>
      <c r="Q51" s="22">
        <f>IF($C$8=0,0,IF(AND($C$8&gt;=1,$C$8&lt;2),AH51,IF($C$8=2,AY51,"&gt; 2 appl.")))</f>
        <v>0.02</v>
      </c>
      <c r="R51" s="16">
        <v>5</v>
      </c>
      <c r="S51" s="22">
        <f>IF($C$8=0,0,IF(AND($C$8&gt;=1,$C$8&lt;2),AJ51,IF($C$8=2,BA51,"&gt; 2 appl.")))</f>
        <v>0.78</v>
      </c>
      <c r="T51" s="16">
        <v>5</v>
      </c>
      <c r="U51" s="22">
        <f>IF($C$8=0,0,IF(AND($C$8&gt;=1,$C$8&lt;2),AL51,IF($C$8=2,BC51,"&gt; 2 appl.")))</f>
        <v>2.93</v>
      </c>
      <c r="V51" s="16">
        <v>5</v>
      </c>
      <c r="W51" s="22">
        <f>IF($C$8=0,0,IF(AND($C$8&gt;=1,$C$8&lt;2),AN51,IF($C$8=2,BE51,"&gt; 2 appl.")))</f>
        <v>9.58</v>
      </c>
      <c r="X51" s="16">
        <v>5</v>
      </c>
      <c r="Y51" s="22">
        <f>IF($C$8=0,0,IF(AND($C$8&gt;=1,$C$8&lt;2),AP51,IF($C$8=2,BG51,"&gt; 2 appl.")))</f>
        <v>0.19</v>
      </c>
      <c r="AF51" s="14"/>
      <c r="AG51" s="10">
        <v>5</v>
      </c>
      <c r="AH51" s="9">
        <v>0.02</v>
      </c>
      <c r="AI51" s="10">
        <v>5</v>
      </c>
      <c r="AJ51" s="9">
        <v>0.78</v>
      </c>
      <c r="AK51" s="10">
        <v>5</v>
      </c>
      <c r="AL51" s="10">
        <v>2.93</v>
      </c>
      <c r="AM51" s="10">
        <v>5</v>
      </c>
      <c r="AN51" s="10">
        <v>9.58</v>
      </c>
      <c r="AO51" s="10">
        <v>5</v>
      </c>
      <c r="AP51" s="10">
        <v>0.19</v>
      </c>
      <c r="AX51" s="10">
        <v>5</v>
      </c>
      <c r="AY51" s="9">
        <v>0.01</v>
      </c>
      <c r="AZ51" s="10">
        <v>5</v>
      </c>
      <c r="BA51" s="9">
        <v>0.47</v>
      </c>
      <c r="BB51" s="10">
        <v>5</v>
      </c>
      <c r="BC51" s="9">
        <v>1.87</v>
      </c>
      <c r="BD51" s="10">
        <v>5</v>
      </c>
      <c r="BE51" s="9">
        <v>6.7</v>
      </c>
      <c r="BF51" s="10">
        <v>5</v>
      </c>
      <c r="BG51" s="9">
        <v>0.14</v>
      </c>
      <c r="EJ51" s="6"/>
      <c r="EK51" s="6"/>
    </row>
    <row r="52" spans="1:141" ht="12.75">
      <c r="A52" s="232" t="str">
        <f>" ("&amp;TEXT(E36,"0,000")&amp;" / 360 x "&amp;C7&amp;" x "&amp;C6&amp;" x "&amp;E39&amp;" x "&amp;C12&amp;"%) / "&amp;B36</f>
        <v> (0,000 / 360 x  x 0 x 5 x 100%) / 60</v>
      </c>
      <c r="B52" s="233"/>
      <c r="C52" s="218"/>
      <c r="D52" s="219" t="str">
        <f>" ("&amp;TEXT(E37,"0,000")&amp;" / 360 x "&amp;C7&amp;" x "&amp;C6&amp;" x "&amp;E39&amp;" x "&amp;C12&amp;"%) / "&amp;B37</f>
        <v> (0,000 / 360 x  x 0 x 5 x 100%) / 16,15</v>
      </c>
      <c r="E52" s="233"/>
      <c r="F52" s="218"/>
      <c r="G52" s="2"/>
      <c r="H52" s="2"/>
      <c r="I52" s="2"/>
      <c r="J52" s="15"/>
      <c r="K52" s="15"/>
      <c r="L52" s="68"/>
      <c r="M52" s="23"/>
      <c r="N52" s="23"/>
      <c r="O52" s="13"/>
      <c r="P52" s="24">
        <v>10</v>
      </c>
      <c r="Q52" s="22">
        <f>IF($C$8=0,0,IF(AND($C$8&gt;=1,$C$8&lt;2),AH52,IF($C$8=2,AY52,"&gt; 2 appl.")))</f>
        <v>0.005</v>
      </c>
      <c r="R52" s="10">
        <v>10</v>
      </c>
      <c r="S52" s="22">
        <f>IF($C$8=0,0,IF(AND($C$8&gt;=1,$C$8&lt;2),AJ52,IF($C$8=2,BA52,"&gt; 2 appl.")))</f>
        <v>0.1</v>
      </c>
      <c r="T52" s="10">
        <v>10</v>
      </c>
      <c r="U52" s="22">
        <f>IF($C$8=0,0,IF(AND($C$8&gt;=1,$C$8&lt;2),AL52,IF($C$8=2,BC52,"&gt; 2 appl.")))</f>
        <v>0.37</v>
      </c>
      <c r="V52" s="10">
        <v>10</v>
      </c>
      <c r="W52" s="22">
        <f>IF($C$8=0,0,IF(AND($C$8&gt;=1,$C$8&lt;2),AN52,IF($C$8=2,BE52,"&gt; 2 appl.")))</f>
        <v>1.47</v>
      </c>
      <c r="X52" s="10">
        <v>10</v>
      </c>
      <c r="Y52" s="22">
        <f>IF($C$8=0,0,IF(AND($C$8&gt;=1,$C$8&lt;2),AP52,IF($C$8=2,BG52,"&gt; 2 appl.")))</f>
        <v>0.03</v>
      </c>
      <c r="AF52" s="14"/>
      <c r="AG52" s="10">
        <v>10</v>
      </c>
      <c r="AH52" s="52">
        <v>0.005</v>
      </c>
      <c r="AI52" s="10">
        <v>10</v>
      </c>
      <c r="AJ52" s="9">
        <v>0.1</v>
      </c>
      <c r="AK52" s="10">
        <v>10</v>
      </c>
      <c r="AL52" s="10">
        <v>0.37</v>
      </c>
      <c r="AM52" s="10">
        <v>10</v>
      </c>
      <c r="AN52" s="10">
        <v>1.47</v>
      </c>
      <c r="AO52" s="10">
        <v>10</v>
      </c>
      <c r="AP52" s="10">
        <v>0.03</v>
      </c>
      <c r="AX52" s="10">
        <v>10</v>
      </c>
      <c r="AY52" s="52">
        <v>0.003</v>
      </c>
      <c r="AZ52" s="10">
        <v>10</v>
      </c>
      <c r="BA52" s="9">
        <v>0.06</v>
      </c>
      <c r="BB52" s="10">
        <v>10</v>
      </c>
      <c r="BC52" s="9">
        <v>0.22</v>
      </c>
      <c r="BD52" s="10">
        <v>10</v>
      </c>
      <c r="BE52" s="9">
        <v>0.97</v>
      </c>
      <c r="BF52" s="10">
        <v>10</v>
      </c>
      <c r="BG52" s="9">
        <v>0.02</v>
      </c>
      <c r="EJ52" s="6"/>
      <c r="EK52" s="6"/>
    </row>
    <row r="53" spans="1:141" ht="12.75">
      <c r="A53" s="178" t="s">
        <v>102</v>
      </c>
      <c r="B53" s="186">
        <f>E36/360*B34*E38*E39</f>
        <v>0</v>
      </c>
      <c r="C53" s="137" t="s">
        <v>101</v>
      </c>
      <c r="D53" s="178" t="s">
        <v>102</v>
      </c>
      <c r="E53" s="186">
        <f>E37/360*B34*E38*E39</f>
        <v>0</v>
      </c>
      <c r="F53" s="137" t="s">
        <v>101</v>
      </c>
      <c r="G53" s="2"/>
      <c r="H53" s="2"/>
      <c r="I53" s="2"/>
      <c r="J53" s="15"/>
      <c r="K53" s="15"/>
      <c r="L53" s="68"/>
      <c r="M53" s="23"/>
      <c r="N53" s="23"/>
      <c r="O53" s="13"/>
      <c r="P53" s="24"/>
      <c r="Q53" s="22"/>
      <c r="R53" s="10"/>
      <c r="S53" s="22"/>
      <c r="T53" s="10"/>
      <c r="U53" s="22"/>
      <c r="V53" s="10"/>
      <c r="W53" s="22"/>
      <c r="X53" s="10"/>
      <c r="Y53" s="22"/>
      <c r="AF53" s="14"/>
      <c r="AG53" s="10"/>
      <c r="AH53" s="52"/>
      <c r="AI53" s="10"/>
      <c r="AJ53" s="9"/>
      <c r="AK53" s="10"/>
      <c r="AL53" s="10"/>
      <c r="AM53" s="10"/>
      <c r="AN53" s="10"/>
      <c r="AO53" s="10"/>
      <c r="AP53" s="10"/>
      <c r="AX53" s="10"/>
      <c r="AY53" s="52"/>
      <c r="AZ53" s="10"/>
      <c r="BA53" s="9"/>
      <c r="BB53" s="10"/>
      <c r="BC53" s="9"/>
      <c r="BD53" s="10"/>
      <c r="BE53" s="9"/>
      <c r="BF53" s="10"/>
      <c r="BG53" s="9"/>
      <c r="EJ53" s="6"/>
      <c r="EK53" s="6"/>
    </row>
    <row r="54" spans="1:141" ht="12.75">
      <c r="A54" s="178" t="s">
        <v>102</v>
      </c>
      <c r="B54" s="186">
        <f>E36/360*B34*E38*E39/B36</f>
        <v>0</v>
      </c>
      <c r="C54" s="137" t="s">
        <v>12</v>
      </c>
      <c r="D54" s="178" t="s">
        <v>102</v>
      </c>
      <c r="E54" s="186">
        <f>E37/360*B34*E38*E39/B37</f>
        <v>0</v>
      </c>
      <c r="F54" s="137" t="s">
        <v>12</v>
      </c>
      <c r="G54" s="2"/>
      <c r="H54" s="2"/>
      <c r="I54" s="2"/>
      <c r="J54" s="15"/>
      <c r="K54" s="15"/>
      <c r="L54" s="68"/>
      <c r="M54" s="23"/>
      <c r="N54" s="23"/>
      <c r="O54" s="13"/>
      <c r="P54" s="24"/>
      <c r="Q54" s="22"/>
      <c r="R54" s="10"/>
      <c r="S54" s="22"/>
      <c r="T54" s="10"/>
      <c r="U54" s="22"/>
      <c r="V54" s="10"/>
      <c r="W54" s="22"/>
      <c r="X54" s="10"/>
      <c r="Y54" s="22"/>
      <c r="AF54" s="14"/>
      <c r="AG54" s="10"/>
      <c r="AH54" s="52"/>
      <c r="AI54" s="10"/>
      <c r="AJ54" s="9"/>
      <c r="AK54" s="10"/>
      <c r="AL54" s="10"/>
      <c r="AM54" s="10"/>
      <c r="AN54" s="10"/>
      <c r="AO54" s="10"/>
      <c r="AP54" s="10"/>
      <c r="AX54" s="10"/>
      <c r="AY54" s="52"/>
      <c r="AZ54" s="10"/>
      <c r="BA54" s="9"/>
      <c r="BB54" s="10"/>
      <c r="BC54" s="9"/>
      <c r="BD54" s="10"/>
      <c r="BE54" s="9"/>
      <c r="BF54" s="10"/>
      <c r="BG54" s="9"/>
      <c r="EJ54" s="6"/>
      <c r="EK54" s="6"/>
    </row>
    <row r="55" spans="1:141" ht="13.5" thickBot="1">
      <c r="A55" s="158" t="s">
        <v>48</v>
      </c>
      <c r="B55" s="192">
        <f>E36/360*B34*E38*E39*B39%/B36</f>
        <v>0</v>
      </c>
      <c r="C55" s="159" t="s">
        <v>12</v>
      </c>
      <c r="D55" s="168" t="s">
        <v>48</v>
      </c>
      <c r="E55" s="192">
        <f>E37/360*B34*E38*E39*B39%/B37</f>
        <v>0</v>
      </c>
      <c r="F55" s="159" t="s">
        <v>49</v>
      </c>
      <c r="G55" s="2"/>
      <c r="H55" s="2"/>
      <c r="I55" s="2"/>
      <c r="J55" s="15"/>
      <c r="K55" s="15"/>
      <c r="L55" s="68"/>
      <c r="M55" s="23"/>
      <c r="N55" s="23"/>
      <c r="O55" s="13"/>
      <c r="P55" s="24">
        <v>15</v>
      </c>
      <c r="Q55" s="22">
        <f>IF($C$8=0,0,IF(AND($C$8&gt;=1,$C$8&lt;2),AH55,IF($C$8=2,AY55,"&gt; 2 appl.")))</f>
        <v>0.002</v>
      </c>
      <c r="R55" s="10">
        <v>15</v>
      </c>
      <c r="S55" s="22">
        <f>IF($C$8=0,0,IF(AND($C$8&gt;=1,$C$8&lt;2),AJ55,IF($C$8=2,BA55,"&gt; 2 appl.")))</f>
        <v>0.03</v>
      </c>
      <c r="T55" s="10">
        <v>15</v>
      </c>
      <c r="U55" s="22">
        <f>IF($C$8=0,0,IF(AND($C$8&gt;=1,$C$8&lt;2),AL55,IF($C$8=2,BC55,"&gt; 2 appl.")))</f>
        <v>0.11</v>
      </c>
      <c r="V55" s="10">
        <v>15</v>
      </c>
      <c r="W55" s="22">
        <f>IF($C$8=0,0,IF(AND($C$8&gt;=1,$C$8&lt;2),AN55,IF($C$8=2,BE55,"&gt; 2 appl.")))</f>
        <v>0.49</v>
      </c>
      <c r="X55" s="10">
        <v>15</v>
      </c>
      <c r="Y55" s="22">
        <f>IF($C$8=0,0,IF(AND($C$8&gt;=1,$C$8&lt;2),AP55,IF($C$8=2,BG55,"&gt; 2 appl.")))</f>
        <v>0.01</v>
      </c>
      <c r="AF55" s="14"/>
      <c r="AG55" s="10">
        <v>15</v>
      </c>
      <c r="AH55" s="52">
        <v>0.002</v>
      </c>
      <c r="AI55" s="10">
        <v>15</v>
      </c>
      <c r="AJ55" s="9">
        <v>0.03</v>
      </c>
      <c r="AK55" s="10">
        <v>15</v>
      </c>
      <c r="AL55" s="10">
        <v>0.11</v>
      </c>
      <c r="AM55" s="10">
        <v>15</v>
      </c>
      <c r="AN55" s="10">
        <v>0.49</v>
      </c>
      <c r="AO55" s="10">
        <v>15</v>
      </c>
      <c r="AP55" s="52">
        <v>0.01</v>
      </c>
      <c r="AX55" s="10">
        <v>15</v>
      </c>
      <c r="AY55" s="52">
        <v>0.001</v>
      </c>
      <c r="AZ55" s="10">
        <v>15</v>
      </c>
      <c r="BA55" s="9">
        <v>0.02</v>
      </c>
      <c r="BB55" s="10">
        <v>15</v>
      </c>
      <c r="BC55" s="9">
        <v>0.06</v>
      </c>
      <c r="BD55" s="10">
        <v>15</v>
      </c>
      <c r="BE55" s="9">
        <v>0.32</v>
      </c>
      <c r="BF55" s="10">
        <v>15</v>
      </c>
      <c r="BG55" s="52">
        <v>0.008</v>
      </c>
      <c r="EJ55" s="6"/>
      <c r="EK55" s="6"/>
    </row>
    <row r="56" spans="1:141" ht="12.75">
      <c r="A56" s="269" t="s">
        <v>81</v>
      </c>
      <c r="B56" s="270"/>
      <c r="C56" s="224"/>
      <c r="D56" s="271" t="s">
        <v>81</v>
      </c>
      <c r="E56" s="270"/>
      <c r="F56" s="224"/>
      <c r="G56" s="2"/>
      <c r="H56" s="2"/>
      <c r="I56" s="2"/>
      <c r="J56" s="15"/>
      <c r="K56" s="15"/>
      <c r="L56" s="68"/>
      <c r="M56" s="23"/>
      <c r="N56" s="23"/>
      <c r="O56" s="13"/>
      <c r="P56" s="24">
        <v>20</v>
      </c>
      <c r="Q56" s="22">
        <f>IF($C$8=0,0,IF(AND($C$8&gt;=1,$C$8&lt;2),AH56,IF($C$8=2,AY56,"&gt; 2 appl.")))</f>
        <v>0.001</v>
      </c>
      <c r="R56" s="10">
        <v>20</v>
      </c>
      <c r="S56" s="22">
        <f>IF($C$8=0,0,IF(AND($C$8&gt;=1,$C$8&lt;2),AJ56,IF($C$8=2,BA56,"&gt; 2 appl.")))</f>
        <v>0.01</v>
      </c>
      <c r="T56" s="10">
        <v>20</v>
      </c>
      <c r="U56" s="22">
        <f>IF($C$8=0,0,IF(AND($C$8&gt;=1,$C$8&lt;2),AL56,IF($C$8=2,BC56,"&gt; 2 appl.")))</f>
        <v>0.05</v>
      </c>
      <c r="V56" s="10">
        <v>20</v>
      </c>
      <c r="W56" s="22">
        <f>IF($C$8=0,0,IF(AND($C$8&gt;=1,$C$8&lt;2),AN56,IF($C$8=2,BE56,"&gt; 2 appl.")))</f>
        <v>0.23</v>
      </c>
      <c r="X56" s="10">
        <v>20</v>
      </c>
      <c r="Y56" s="22">
        <f>IF($C$8=0,0,IF(AND($C$8&gt;=1,$C$8&lt;2),AP56,IF($C$8=2,BG56,"&gt; 2 appl.")))</f>
        <v>0.005</v>
      </c>
      <c r="AF56" s="14"/>
      <c r="AG56" s="10">
        <v>20</v>
      </c>
      <c r="AH56" s="83">
        <v>0.001</v>
      </c>
      <c r="AI56" s="10">
        <v>20</v>
      </c>
      <c r="AJ56" s="52">
        <v>0.01</v>
      </c>
      <c r="AK56" s="10">
        <v>20</v>
      </c>
      <c r="AL56" s="10">
        <v>0.05</v>
      </c>
      <c r="AM56" s="10">
        <v>20</v>
      </c>
      <c r="AN56" s="10">
        <v>0.23</v>
      </c>
      <c r="AO56" s="10">
        <v>20</v>
      </c>
      <c r="AP56" s="52">
        <v>0.005</v>
      </c>
      <c r="AX56" s="10">
        <v>20</v>
      </c>
      <c r="AY56" s="83">
        <v>0.0008</v>
      </c>
      <c r="AZ56" s="10">
        <v>20</v>
      </c>
      <c r="BA56" s="52">
        <v>0.008</v>
      </c>
      <c r="BB56" s="10">
        <v>20</v>
      </c>
      <c r="BC56" s="9">
        <v>0.03</v>
      </c>
      <c r="BD56" s="10">
        <v>20</v>
      </c>
      <c r="BE56" s="9">
        <v>0.14</v>
      </c>
      <c r="BF56" s="10">
        <v>20</v>
      </c>
      <c r="BG56" s="52">
        <v>0.004</v>
      </c>
      <c r="EJ56" s="6"/>
      <c r="EK56" s="6"/>
    </row>
    <row r="57" spans="1:141" ht="25.5">
      <c r="A57" s="179" t="s">
        <v>103</v>
      </c>
      <c r="B57" s="187">
        <f>B58*B36</f>
        <v>0</v>
      </c>
      <c r="C57" s="114" t="s">
        <v>101</v>
      </c>
      <c r="D57" s="179" t="s">
        <v>103</v>
      </c>
      <c r="E57" s="187">
        <f>E58*B37</f>
        <v>0</v>
      </c>
      <c r="F57" s="114" t="s">
        <v>101</v>
      </c>
      <c r="G57" s="2"/>
      <c r="H57" s="2"/>
      <c r="I57" s="2"/>
      <c r="J57" s="15"/>
      <c r="K57" s="15"/>
      <c r="L57" s="68"/>
      <c r="M57" s="23"/>
      <c r="N57" s="23"/>
      <c r="O57" s="13"/>
      <c r="P57" s="24"/>
      <c r="Q57" s="22"/>
      <c r="R57" s="10"/>
      <c r="S57" s="22"/>
      <c r="T57" s="10"/>
      <c r="U57" s="22"/>
      <c r="V57" s="10"/>
      <c r="W57" s="22"/>
      <c r="X57" s="10"/>
      <c r="Y57" s="22"/>
      <c r="AF57" s="14"/>
      <c r="AG57" s="10"/>
      <c r="AH57" s="83"/>
      <c r="AI57" s="10"/>
      <c r="AJ57" s="52"/>
      <c r="AK57" s="10"/>
      <c r="AL57" s="10"/>
      <c r="AM57" s="10"/>
      <c r="AN57" s="10"/>
      <c r="AO57" s="10"/>
      <c r="AP57" s="52"/>
      <c r="AX57" s="10"/>
      <c r="AY57" s="83"/>
      <c r="AZ57" s="10"/>
      <c r="BA57" s="52"/>
      <c r="BB57" s="10"/>
      <c r="BC57" s="9"/>
      <c r="BD57" s="10"/>
      <c r="BE57" s="9"/>
      <c r="BF57" s="10"/>
      <c r="BG57" s="52"/>
      <c r="EJ57" s="6"/>
      <c r="EK57" s="6"/>
    </row>
    <row r="58" spans="1:141" ht="25.5">
      <c r="A58" s="135" t="s">
        <v>82</v>
      </c>
      <c r="B58" s="193">
        <f>B55+B49</f>
        <v>0</v>
      </c>
      <c r="C58" s="171" t="s">
        <v>12</v>
      </c>
      <c r="D58" s="162" t="s">
        <v>82</v>
      </c>
      <c r="E58" s="193">
        <f>E55+E49</f>
        <v>0</v>
      </c>
      <c r="F58" s="171" t="s">
        <v>49</v>
      </c>
      <c r="G58" s="2"/>
      <c r="H58" s="2"/>
      <c r="I58" s="2"/>
      <c r="J58" s="15"/>
      <c r="K58" s="15"/>
      <c r="L58" s="68"/>
      <c r="M58" s="23"/>
      <c r="N58" s="23"/>
      <c r="O58" s="13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F58" s="26"/>
      <c r="AG58" s="26"/>
      <c r="AH58" s="26"/>
      <c r="AX58" s="5"/>
      <c r="AY58" s="5"/>
      <c r="EJ58" s="6"/>
      <c r="EK58" s="6"/>
    </row>
    <row r="59" spans="1:141" ht="13.5" thickBot="1">
      <c r="A59" s="158" t="s">
        <v>50</v>
      </c>
      <c r="B59" s="194">
        <f>IF(B40&gt;0,B58*100/B40,0)</f>
        <v>0</v>
      </c>
      <c r="C59" s="159" t="s">
        <v>55</v>
      </c>
      <c r="D59" s="168" t="s">
        <v>50</v>
      </c>
      <c r="E59" s="194">
        <f>IF(B40&gt;0,E58*100/B40,0)</f>
        <v>0</v>
      </c>
      <c r="F59" s="159" t="s">
        <v>55</v>
      </c>
      <c r="G59" s="2"/>
      <c r="H59" s="2"/>
      <c r="I59" s="2"/>
      <c r="J59" s="15"/>
      <c r="K59" s="15"/>
      <c r="L59" s="68"/>
      <c r="M59" s="23"/>
      <c r="N59" s="23"/>
      <c r="O59" s="13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28">
        <f>IF(AA60&lt;&gt;"",VALUE(AA60),0)</f>
        <v>0</v>
      </c>
      <c r="AB59" s="10"/>
      <c r="AF59" s="26"/>
      <c r="AG59" s="26"/>
      <c r="AH59" s="31"/>
      <c r="AX59" s="5"/>
      <c r="AY59" s="5"/>
      <c r="EJ59" s="6"/>
      <c r="EK59" s="6"/>
    </row>
    <row r="60" spans="7:141" ht="12.75">
      <c r="G60" s="2"/>
      <c r="H60" s="2"/>
      <c r="I60" s="2"/>
      <c r="J60" s="15"/>
      <c r="K60" s="15"/>
      <c r="L60" s="68"/>
      <c r="M60" s="23"/>
      <c r="N60" s="23"/>
      <c r="O60" s="13"/>
      <c r="P60" s="10"/>
      <c r="Q60" s="10"/>
      <c r="R60" s="10"/>
      <c r="S60" s="10" t="s">
        <v>32</v>
      </c>
      <c r="T60" s="10"/>
      <c r="U60" s="10"/>
      <c r="V60" s="10"/>
      <c r="W60" s="10"/>
      <c r="X60" s="10"/>
      <c r="Y60" s="10">
        <f>IF(S60=S61,1,IF(S60=S62,2,IF(S60=S63,3,IF(S60=S64,4,IF(S60=S65,5,0)))))</f>
        <v>0</v>
      </c>
      <c r="Z60" s="10"/>
      <c r="AA60" s="28" t="s">
        <v>32</v>
      </c>
      <c r="AB60" s="10"/>
      <c r="AF60" s="26"/>
      <c r="AG60" s="26"/>
      <c r="AH60" s="26"/>
      <c r="AX60" s="5"/>
      <c r="AY60" s="5"/>
      <c r="EJ60" s="6"/>
      <c r="EK60" s="6"/>
    </row>
    <row r="61" spans="1:141" ht="15.75">
      <c r="A61" s="251" t="str">
        <f>"Estimation of resident exposure after application in "&amp;E5</f>
        <v>Estimation of resident exposure after application in </v>
      </c>
      <c r="B61" s="251"/>
      <c r="C61" s="251"/>
      <c r="D61" s="251"/>
      <c r="E61" s="251"/>
      <c r="F61" s="251"/>
      <c r="G61" s="2"/>
      <c r="H61" s="2"/>
      <c r="I61" s="2"/>
      <c r="J61" s="15"/>
      <c r="K61" s="15"/>
      <c r="L61" s="68"/>
      <c r="M61" s="23"/>
      <c r="N61" s="23"/>
      <c r="O61" s="13"/>
      <c r="P61" s="10"/>
      <c r="Q61" s="10"/>
      <c r="R61" s="10"/>
      <c r="S61" s="10" t="s">
        <v>19</v>
      </c>
      <c r="T61" s="10"/>
      <c r="U61" s="10"/>
      <c r="V61" s="10"/>
      <c r="W61" s="10"/>
      <c r="X61" s="10"/>
      <c r="Y61" s="10">
        <v>1</v>
      </c>
      <c r="Z61" s="10"/>
      <c r="AA61" s="10">
        <f aca="true" t="shared" si="1" ref="AA61:AB63">IF($Y$60=1,P50,IF($Y$60=2,R50,IF($Y$60=3,T50,IF($Y$60=4,V50,IF($Y$60=5,X50,0)))))</f>
        <v>0</v>
      </c>
      <c r="AB61" s="10">
        <f t="shared" si="1"/>
        <v>0</v>
      </c>
      <c r="AC61" s="10">
        <f>IF($Y$60=1,AH50,IF($Y$60=2,AJ50,IF($Y$60=3,AL50,IF($Y$60=4,AN50,IF($Y$60=5,AP50,0)))))</f>
        <v>0</v>
      </c>
      <c r="AF61" s="26"/>
      <c r="AG61" s="32"/>
      <c r="AH61" s="26"/>
      <c r="AS61" s="6"/>
      <c r="AX61" s="5"/>
      <c r="AY61" s="5"/>
      <c r="BV61" s="85"/>
      <c r="BW61" s="86"/>
      <c r="BX61" s="85"/>
      <c r="BY61" s="85"/>
      <c r="BZ61" s="86"/>
      <c r="CA61" s="85"/>
      <c r="EJ61" s="6"/>
      <c r="EK61" s="6"/>
    </row>
    <row r="62" spans="7:141" ht="12.75">
      <c r="G62" s="2"/>
      <c r="H62" s="2"/>
      <c r="I62" s="2"/>
      <c r="J62" s="15"/>
      <c r="K62" s="15"/>
      <c r="L62" s="68"/>
      <c r="M62" s="23"/>
      <c r="N62" s="23"/>
      <c r="O62" s="13"/>
      <c r="P62" s="10"/>
      <c r="Q62" s="10"/>
      <c r="R62" s="10"/>
      <c r="S62" s="10" t="s">
        <v>20</v>
      </c>
      <c r="T62" s="10"/>
      <c r="U62" s="10"/>
      <c r="V62" s="10"/>
      <c r="W62" s="10"/>
      <c r="X62" s="10"/>
      <c r="Y62" s="10">
        <v>2</v>
      </c>
      <c r="Z62" s="10"/>
      <c r="AA62" s="10">
        <f t="shared" si="1"/>
        <v>0</v>
      </c>
      <c r="AB62" s="10">
        <f t="shared" si="1"/>
        <v>0</v>
      </c>
      <c r="AC62" s="10">
        <f>IF($Y$60=1,AH51,IF($Y$60=2,AJ51,IF($Y$60=3,AL51,IF($Y$60=4,AN51,IF($Y$60=5,AP51,0)))))</f>
        <v>0</v>
      </c>
      <c r="AF62" s="26"/>
      <c r="AG62" s="26"/>
      <c r="AH62" s="26"/>
      <c r="AX62" s="5"/>
      <c r="AY62" s="5"/>
      <c r="EJ62" s="6"/>
      <c r="EK62" s="6"/>
    </row>
    <row r="63" spans="1:141" ht="16.5" thickBot="1">
      <c r="A63" s="262" t="s">
        <v>76</v>
      </c>
      <c r="B63" s="262"/>
      <c r="C63" s="262"/>
      <c r="D63" s="262"/>
      <c r="E63" s="262"/>
      <c r="F63" s="262"/>
      <c r="G63" s="2"/>
      <c r="H63" s="2"/>
      <c r="I63" s="2"/>
      <c r="J63" s="15"/>
      <c r="K63" s="15"/>
      <c r="L63" s="68"/>
      <c r="M63" s="23"/>
      <c r="N63" s="23"/>
      <c r="O63" s="13"/>
      <c r="P63" s="10"/>
      <c r="Q63" s="10"/>
      <c r="R63" s="10"/>
      <c r="S63" s="10" t="s">
        <v>24</v>
      </c>
      <c r="T63" s="10"/>
      <c r="U63" s="10"/>
      <c r="V63" s="10"/>
      <c r="W63" s="10"/>
      <c r="X63" s="10"/>
      <c r="Y63" s="10">
        <v>3</v>
      </c>
      <c r="Z63" s="10"/>
      <c r="AA63" s="10">
        <f t="shared" si="1"/>
        <v>0</v>
      </c>
      <c r="AB63" s="10">
        <f t="shared" si="1"/>
        <v>0</v>
      </c>
      <c r="AC63" s="10">
        <f>IF($Y$60=1,AH52,IF($Y$60=2,AJ52,IF($Y$60=3,AL52,IF($Y$60=4,AN52,IF($Y$60=5,AP52,0)))))</f>
        <v>0</v>
      </c>
      <c r="AF63" s="26"/>
      <c r="AG63" s="26"/>
      <c r="AH63" s="26"/>
      <c r="AX63" s="5"/>
      <c r="AY63" s="5"/>
      <c r="EJ63" s="6"/>
      <c r="EK63" s="6"/>
    </row>
    <row r="64" spans="1:141" ht="12.75">
      <c r="A64" s="147" t="s">
        <v>42</v>
      </c>
      <c r="B64" s="265">
        <f>B5</f>
        <v>0</v>
      </c>
      <c r="C64" s="266"/>
      <c r="D64" s="160" t="s">
        <v>43</v>
      </c>
      <c r="E64" s="210">
        <f>IF(B67=1,E24,IF(B67=2,E25,IF(B67&gt;2,"please check",0)))</f>
      </c>
      <c r="F64" s="161">
        <f>F24</f>
      </c>
      <c r="G64" s="2"/>
      <c r="H64" s="2"/>
      <c r="I64" s="2"/>
      <c r="J64" s="15"/>
      <c r="K64" s="15"/>
      <c r="L64" s="68"/>
      <c r="M64" s="23"/>
      <c r="N64" s="23"/>
      <c r="O64" s="13"/>
      <c r="P64" s="10"/>
      <c r="Q64" s="10"/>
      <c r="R64" s="10"/>
      <c r="S64" s="10" t="s">
        <v>21</v>
      </c>
      <c r="T64" s="10"/>
      <c r="U64" s="10"/>
      <c r="V64" s="10"/>
      <c r="W64" s="10"/>
      <c r="X64" s="10"/>
      <c r="Y64" s="10">
        <v>4</v>
      </c>
      <c r="Z64" s="10"/>
      <c r="AA64" s="10">
        <f>IF($Y$60=1,P55,IF($Y$60=2,R55,IF($Y$60=3,T55,IF($Y$60=4,V55,IF($Y$60=5,X55,0)))))</f>
        <v>0</v>
      </c>
      <c r="AB64" s="10">
        <f>IF($Y$60=1,Q55,IF($Y$60=2,S55,IF($Y$60=3,U55,IF($Y$60=4,W55,IF($Y$60=5,Y55,0)))))</f>
        <v>0</v>
      </c>
      <c r="AC64" s="10">
        <f>IF($Y$60=1,AH55,IF($Y$60=2,AJ55,IF($Y$60=3,AL55,IF($Y$60=4,AN55,IF($Y$60=5,AP55,0)))))</f>
        <v>0</v>
      </c>
      <c r="AF64" s="26"/>
      <c r="AG64" s="26"/>
      <c r="AH64" s="26"/>
      <c r="AX64" s="5"/>
      <c r="AY64" s="5"/>
      <c r="EJ64" s="6"/>
      <c r="EK64" s="6"/>
    </row>
    <row r="65" spans="1:141" ht="15.75">
      <c r="A65" s="263" t="s">
        <v>44</v>
      </c>
      <c r="B65" s="267">
        <f>C7</f>
        <v>0</v>
      </c>
      <c r="C65" s="223" t="s">
        <v>53</v>
      </c>
      <c r="D65" s="272" t="s">
        <v>62</v>
      </c>
      <c r="E65" s="188">
        <v>7300</v>
      </c>
      <c r="F65" s="149" t="s">
        <v>104</v>
      </c>
      <c r="G65" s="2"/>
      <c r="H65" s="2"/>
      <c r="I65" s="2"/>
      <c r="J65" s="15"/>
      <c r="K65" s="15"/>
      <c r="L65" s="68"/>
      <c r="M65" s="23"/>
      <c r="N65" s="23"/>
      <c r="O65" s="13"/>
      <c r="P65" s="10"/>
      <c r="Q65" s="10"/>
      <c r="R65" s="10"/>
      <c r="S65" s="10" t="s">
        <v>25</v>
      </c>
      <c r="T65" s="10"/>
      <c r="U65" s="10"/>
      <c r="V65" s="10"/>
      <c r="W65" s="10"/>
      <c r="X65" s="10"/>
      <c r="Y65" s="10">
        <v>5</v>
      </c>
      <c r="Z65" s="10"/>
      <c r="AA65" s="10">
        <f>IF($Y$60=1,P56,IF($Y$60=2,R56,IF($Y$60=3,T56,IF($Y$60=4,V56,IF($Y$60=5,X56,0)))))</f>
        <v>0</v>
      </c>
      <c r="AB65" s="10">
        <f>IF($Y$60=1,Q56,IF($Y$60=2,S56,IF($Y$60=3,U56,IF($Y$60=4,W56,IF($Y$60=5,Y56,0)))))</f>
        <v>0</v>
      </c>
      <c r="AC65" s="10">
        <f>IF($Y$60=1,AH56,IF($Y$60=2,AJ56,IF($Y$60=3,AL56,IF($Y$60=4,AN56,IF($Y$60=5,AP56,0)))))</f>
        <v>0</v>
      </c>
      <c r="AF65" s="26"/>
      <c r="AG65" s="26"/>
      <c r="AH65" s="26"/>
      <c r="AX65" s="5"/>
      <c r="AY65" s="5"/>
      <c r="EJ65" s="6"/>
      <c r="EK65" s="6"/>
    </row>
    <row r="66" spans="1:141" ht="15.75">
      <c r="A66" s="264"/>
      <c r="B66" s="268"/>
      <c r="C66" s="224"/>
      <c r="D66" s="273"/>
      <c r="E66" s="187">
        <v>2600</v>
      </c>
      <c r="F66" s="114" t="s">
        <v>83</v>
      </c>
      <c r="G66" s="2"/>
      <c r="H66" s="2"/>
      <c r="I66" s="2"/>
      <c r="J66" s="15"/>
      <c r="K66" s="15"/>
      <c r="L66" s="68"/>
      <c r="M66" s="23"/>
      <c r="N66" s="23"/>
      <c r="O66" s="13"/>
      <c r="Q66" s="6"/>
      <c r="AF66" s="26"/>
      <c r="AG66" s="26"/>
      <c r="AH66" s="26"/>
      <c r="AX66" s="5"/>
      <c r="AY66" s="5"/>
      <c r="EJ66" s="6"/>
      <c r="EK66" s="6"/>
    </row>
    <row r="67" spans="1:141" ht="25.5">
      <c r="A67" s="136" t="s">
        <v>60</v>
      </c>
      <c r="B67" s="186">
        <f>C8</f>
        <v>1</v>
      </c>
      <c r="C67" s="137"/>
      <c r="D67" s="157" t="s">
        <v>61</v>
      </c>
      <c r="E67" s="187">
        <v>5</v>
      </c>
      <c r="F67" s="114" t="s">
        <v>55</v>
      </c>
      <c r="G67" s="2"/>
      <c r="H67" s="2"/>
      <c r="I67" s="2"/>
      <c r="J67" s="15"/>
      <c r="K67" s="15"/>
      <c r="L67" s="68"/>
      <c r="M67" s="23"/>
      <c r="N67" s="23"/>
      <c r="O67" s="13"/>
      <c r="Q67" s="6"/>
      <c r="AF67" s="26"/>
      <c r="AG67" s="26"/>
      <c r="AH67" s="26"/>
      <c r="AX67" s="5"/>
      <c r="AY67" s="5"/>
      <c r="EJ67" s="6"/>
      <c r="EK67" s="6"/>
    </row>
    <row r="68" spans="1:141" ht="12.75">
      <c r="A68" s="229" t="s">
        <v>46</v>
      </c>
      <c r="B68" s="188">
        <f>C15</f>
        <v>60</v>
      </c>
      <c r="C68" s="149" t="s">
        <v>97</v>
      </c>
      <c r="D68" s="162" t="s">
        <v>63</v>
      </c>
      <c r="E68" s="188">
        <v>2</v>
      </c>
      <c r="F68" s="149" t="s">
        <v>73</v>
      </c>
      <c r="G68" s="2"/>
      <c r="H68" s="2"/>
      <c r="I68" s="2"/>
      <c r="J68" s="15"/>
      <c r="K68" s="15"/>
      <c r="L68" s="68"/>
      <c r="M68" s="23"/>
      <c r="N68" s="23"/>
      <c r="O68" s="13"/>
      <c r="Q68" s="6"/>
      <c r="AF68" s="26"/>
      <c r="AG68" s="26"/>
      <c r="AH68" s="26"/>
      <c r="AX68" s="5"/>
      <c r="AY68" s="5"/>
      <c r="EJ68" s="6"/>
      <c r="EK68" s="6"/>
    </row>
    <row r="69" spans="1:141" ht="25.5">
      <c r="A69" s="229"/>
      <c r="B69" s="187">
        <f>C16</f>
        <v>16.15</v>
      </c>
      <c r="C69" s="114" t="s">
        <v>54</v>
      </c>
      <c r="D69" s="162" t="s">
        <v>74</v>
      </c>
      <c r="E69" s="188" t="str">
        <f>IF(D26="","none",D26)</f>
        <v>none</v>
      </c>
      <c r="F69" s="149">
        <f>IF(E69="none","","mg/m3")</f>
      </c>
      <c r="G69" s="2"/>
      <c r="H69" s="2"/>
      <c r="I69" s="2"/>
      <c r="J69" s="15"/>
      <c r="K69" s="15"/>
      <c r="L69" s="68"/>
      <c r="M69" s="23"/>
      <c r="N69" s="23"/>
      <c r="O69" s="13"/>
      <c r="P69" s="6">
        <v>0.001</v>
      </c>
      <c r="Q69" s="6"/>
      <c r="AF69" s="26"/>
      <c r="AG69" s="26"/>
      <c r="AH69" s="26"/>
      <c r="AX69" s="5"/>
      <c r="AY69" s="5"/>
      <c r="EJ69" s="6"/>
      <c r="EK69" s="6"/>
    </row>
    <row r="70" spans="1:141" ht="15.75">
      <c r="A70" s="135" t="s">
        <v>51</v>
      </c>
      <c r="B70" s="189">
        <f>C11</f>
        <v>0</v>
      </c>
      <c r="C70" s="149" t="s">
        <v>112</v>
      </c>
      <c r="D70" s="272" t="s">
        <v>64</v>
      </c>
      <c r="E70" s="188">
        <v>16.57</v>
      </c>
      <c r="F70" s="149" t="s">
        <v>84</v>
      </c>
      <c r="G70" s="2"/>
      <c r="H70" s="2"/>
      <c r="I70" s="2"/>
      <c r="J70" s="15"/>
      <c r="K70" s="15"/>
      <c r="L70" s="68"/>
      <c r="M70" s="23"/>
      <c r="N70" s="23"/>
      <c r="O70" s="13"/>
      <c r="P70" s="6">
        <v>0.015</v>
      </c>
      <c r="Q70" s="6"/>
      <c r="AF70" s="26"/>
      <c r="AG70" s="26"/>
      <c r="AH70" s="26"/>
      <c r="AX70" s="5"/>
      <c r="AY70" s="5"/>
      <c r="EJ70" s="6"/>
      <c r="EK70" s="6"/>
    </row>
    <row r="71" spans="1:141" ht="25.5">
      <c r="A71" s="135" t="s">
        <v>52</v>
      </c>
      <c r="B71" s="190">
        <f>C12</f>
        <v>100</v>
      </c>
      <c r="C71" s="152" t="s">
        <v>55</v>
      </c>
      <c r="D71" s="273"/>
      <c r="E71" s="211">
        <v>8.31</v>
      </c>
      <c r="F71" s="163" t="s">
        <v>85</v>
      </c>
      <c r="G71" s="2"/>
      <c r="H71" s="2"/>
      <c r="I71" s="2"/>
      <c r="J71" s="15"/>
      <c r="K71" s="15"/>
      <c r="L71" s="68"/>
      <c r="M71" s="23"/>
      <c r="N71" s="23"/>
      <c r="O71" s="13"/>
      <c r="Q71" s="6"/>
      <c r="AF71" s="26"/>
      <c r="AG71" s="26"/>
      <c r="AH71" s="26"/>
      <c r="AX71" s="5"/>
      <c r="AY71" s="5"/>
      <c r="EJ71" s="6"/>
      <c r="EK71" s="6"/>
    </row>
    <row r="72" spans="1:141" ht="25.5">
      <c r="A72" s="164" t="s">
        <v>111</v>
      </c>
      <c r="B72" s="195">
        <f>C13</f>
        <v>100</v>
      </c>
      <c r="C72" s="165" t="s">
        <v>55</v>
      </c>
      <c r="D72" s="156" t="s">
        <v>65</v>
      </c>
      <c r="E72" s="186">
        <v>50</v>
      </c>
      <c r="F72" s="137" t="s">
        <v>55</v>
      </c>
      <c r="G72" s="2"/>
      <c r="H72" s="2"/>
      <c r="I72" s="2"/>
      <c r="J72" s="15"/>
      <c r="K72" s="15"/>
      <c r="L72" s="68"/>
      <c r="M72" s="23"/>
      <c r="N72" s="23"/>
      <c r="O72" s="13"/>
      <c r="Q72" s="6"/>
      <c r="AF72" s="26"/>
      <c r="AG72" s="26"/>
      <c r="AH72" s="26"/>
      <c r="AX72" s="5"/>
      <c r="AY72" s="5"/>
      <c r="EJ72" s="6"/>
      <c r="EK72" s="6"/>
    </row>
    <row r="73" spans="1:141" ht="25.5">
      <c r="A73" s="164" t="s">
        <v>94</v>
      </c>
      <c r="B73" s="195">
        <f>C14</f>
        <v>0</v>
      </c>
      <c r="C73" s="217" t="s">
        <v>12</v>
      </c>
      <c r="D73" s="156" t="s">
        <v>66</v>
      </c>
      <c r="E73" s="186">
        <v>20</v>
      </c>
      <c r="F73" s="137" t="s">
        <v>86</v>
      </c>
      <c r="G73" s="2"/>
      <c r="H73" s="2"/>
      <c r="I73" s="2"/>
      <c r="J73" s="15"/>
      <c r="K73" s="15"/>
      <c r="L73" s="68"/>
      <c r="M73" s="23"/>
      <c r="N73" s="23"/>
      <c r="O73" s="13"/>
      <c r="Q73" s="6"/>
      <c r="AF73" s="26"/>
      <c r="AG73" s="26"/>
      <c r="AH73" s="26"/>
      <c r="AX73" s="5"/>
      <c r="AY73" s="5"/>
      <c r="EJ73" s="6"/>
      <c r="EK73" s="6"/>
    </row>
    <row r="74" spans="1:141" ht="25.5">
      <c r="A74" s="164"/>
      <c r="B74" s="195"/>
      <c r="C74" s="165"/>
      <c r="D74" s="156" t="s">
        <v>67</v>
      </c>
      <c r="E74" s="186">
        <v>20</v>
      </c>
      <c r="F74" s="137" t="s">
        <v>75</v>
      </c>
      <c r="G74" s="2"/>
      <c r="H74" s="2"/>
      <c r="I74" s="2"/>
      <c r="J74" s="15"/>
      <c r="K74" s="15"/>
      <c r="L74" s="68"/>
      <c r="M74" s="23"/>
      <c r="N74" s="23"/>
      <c r="O74" s="13"/>
      <c r="Q74" s="6"/>
      <c r="AF74" s="26"/>
      <c r="AG74" s="26"/>
      <c r="AH74" s="26"/>
      <c r="AX74" s="5"/>
      <c r="AY74" s="5"/>
      <c r="EJ74" s="6"/>
      <c r="EK74" s="6"/>
    </row>
    <row r="75" spans="1:141" ht="25.5">
      <c r="A75" s="164"/>
      <c r="B75" s="195"/>
      <c r="C75" s="165"/>
      <c r="D75" s="156" t="s">
        <v>68</v>
      </c>
      <c r="E75" s="186">
        <v>20</v>
      </c>
      <c r="F75" s="137" t="s">
        <v>55</v>
      </c>
      <c r="G75" s="2"/>
      <c r="H75" s="2"/>
      <c r="I75" s="2"/>
      <c r="J75" s="15"/>
      <c r="K75" s="15"/>
      <c r="L75" s="68"/>
      <c r="M75" s="23"/>
      <c r="N75" s="23"/>
      <c r="O75" s="13"/>
      <c r="Q75" s="6"/>
      <c r="AF75" s="26"/>
      <c r="AG75" s="26"/>
      <c r="AH75" s="26"/>
      <c r="AX75" s="5"/>
      <c r="AY75" s="5"/>
      <c r="EJ75" s="6"/>
      <c r="EK75" s="6"/>
    </row>
    <row r="76" spans="1:141" ht="39" thickBot="1">
      <c r="A76" s="166"/>
      <c r="B76" s="196"/>
      <c r="C76" s="167"/>
      <c r="D76" s="168" t="s">
        <v>69</v>
      </c>
      <c r="E76" s="212">
        <v>25</v>
      </c>
      <c r="F76" s="169" t="s">
        <v>87</v>
      </c>
      <c r="G76" s="2"/>
      <c r="H76" s="2"/>
      <c r="I76" s="2"/>
      <c r="J76" s="15"/>
      <c r="K76" s="15"/>
      <c r="L76" s="68"/>
      <c r="M76" s="23"/>
      <c r="N76" s="23"/>
      <c r="O76" s="13"/>
      <c r="Q76" s="6"/>
      <c r="AF76" s="26"/>
      <c r="AG76" s="26"/>
      <c r="AH76" s="26"/>
      <c r="AX76" s="5"/>
      <c r="AY76" s="5"/>
      <c r="EJ76" s="6"/>
      <c r="EK76" s="6"/>
    </row>
    <row r="77" spans="7:141" ht="13.5" thickBot="1">
      <c r="G77" s="2"/>
      <c r="H77" s="2"/>
      <c r="I77" s="2"/>
      <c r="J77" s="15"/>
      <c r="K77" s="15"/>
      <c r="L77" s="68"/>
      <c r="M77" s="23"/>
      <c r="N77" s="23"/>
      <c r="O77" s="13"/>
      <c r="Q77" s="6"/>
      <c r="AF77" s="26"/>
      <c r="AG77" s="26"/>
      <c r="AH77" s="26"/>
      <c r="AX77" s="5"/>
      <c r="AY77" s="5"/>
      <c r="EJ77" s="6"/>
      <c r="EK77" s="6"/>
    </row>
    <row r="78" spans="1:141" ht="13.5" thickBot="1">
      <c r="A78" s="226" t="str">
        <f>"Resident exposure towards "&amp;D3</f>
        <v>Resident exposure towards </v>
      </c>
      <c r="B78" s="227"/>
      <c r="C78" s="227"/>
      <c r="D78" s="227"/>
      <c r="E78" s="227"/>
      <c r="F78" s="228"/>
      <c r="G78" s="2"/>
      <c r="H78" s="2"/>
      <c r="I78" s="2"/>
      <c r="J78" s="15"/>
      <c r="K78" s="15"/>
      <c r="L78" s="68"/>
      <c r="M78" s="23"/>
      <c r="N78" s="23"/>
      <c r="O78" s="13"/>
      <c r="Q78" s="6"/>
      <c r="AF78" s="26"/>
      <c r="AG78" s="26"/>
      <c r="AH78" s="26"/>
      <c r="AX78" s="5"/>
      <c r="AY78" s="5"/>
      <c r="EJ78" s="6"/>
      <c r="EK78" s="6"/>
    </row>
    <row r="79" spans="1:141" ht="12.75">
      <c r="A79" s="258" t="s">
        <v>14</v>
      </c>
      <c r="B79" s="259"/>
      <c r="C79" s="260"/>
      <c r="D79" s="261" t="s">
        <v>15</v>
      </c>
      <c r="E79" s="259"/>
      <c r="F79" s="260"/>
      <c r="G79" s="2"/>
      <c r="H79" s="2"/>
      <c r="I79" s="2"/>
      <c r="J79" s="15"/>
      <c r="K79" s="15"/>
      <c r="L79" s="68"/>
      <c r="M79" s="23"/>
      <c r="N79" s="23"/>
      <c r="O79" s="13"/>
      <c r="Q79" s="6"/>
      <c r="AF79" s="26"/>
      <c r="AG79" s="26"/>
      <c r="AH79" s="26"/>
      <c r="AX79" s="5"/>
      <c r="AY79" s="5"/>
      <c r="EJ79" s="6"/>
      <c r="EK79" s="6"/>
    </row>
    <row r="80" spans="1:141" ht="12.75">
      <c r="A80" s="229" t="str">
        <f>"Residents: Dermal exposure after application in "&amp;B5&amp;" (via deposits caused by spray drift)"</f>
        <v>Residents: Dermal exposure after application in  (via deposits caused by spray drift)</v>
      </c>
      <c r="B80" s="230"/>
      <c r="C80" s="230"/>
      <c r="D80" s="230"/>
      <c r="E80" s="230"/>
      <c r="F80" s="231"/>
      <c r="G80" s="2"/>
      <c r="H80" s="2"/>
      <c r="I80" s="2"/>
      <c r="J80" s="15"/>
      <c r="K80" s="15"/>
      <c r="L80" s="68"/>
      <c r="M80" s="23"/>
      <c r="N80" s="23"/>
      <c r="O80" s="13"/>
      <c r="Q80" s="6"/>
      <c r="AF80" s="26"/>
      <c r="AG80" s="26"/>
      <c r="AH80" s="26"/>
      <c r="AX80" s="5"/>
      <c r="AY80" s="5"/>
      <c r="EJ80" s="6"/>
      <c r="EK80" s="6"/>
    </row>
    <row r="81" spans="1:141" ht="12.75">
      <c r="A81" s="232" t="s">
        <v>88</v>
      </c>
      <c r="B81" s="233"/>
      <c r="C81" s="218"/>
      <c r="D81" s="219" t="s">
        <v>88</v>
      </c>
      <c r="E81" s="233"/>
      <c r="F81" s="218"/>
      <c r="G81" s="2"/>
      <c r="H81" s="2"/>
      <c r="I81" s="2"/>
      <c r="J81" s="15"/>
      <c r="K81" s="15"/>
      <c r="L81" s="68"/>
      <c r="M81" s="23"/>
      <c r="N81" s="23"/>
      <c r="O81" s="13"/>
      <c r="Q81" s="6"/>
      <c r="AF81" s="17"/>
      <c r="AG81" s="17"/>
      <c r="AH81" s="17"/>
      <c r="AX81" s="5"/>
      <c r="AY81" s="5"/>
      <c r="EJ81" s="6"/>
      <c r="EK81" s="6"/>
    </row>
    <row r="82" spans="1:141" ht="12.75">
      <c r="A82" s="232" t="str">
        <f>" ("&amp;C7/100&amp;" x "&amp;C8&amp;" x "&amp;X3&amp;"% x "&amp;E67&amp;"% x "&amp;E65&amp;" x "&amp;E68&amp;" x "&amp;C11&amp;"%) / "&amp;B68</f>
        <v> (0 x 1 x % x 5% x 7300 x 2 x %) / 60</v>
      </c>
      <c r="B82" s="233"/>
      <c r="C82" s="218"/>
      <c r="D82" s="219" t="str">
        <f>" ("&amp;C7/100&amp;" x "&amp;C8&amp;" x "&amp;X3&amp;"% x "&amp;E67&amp;"% x "&amp;E66&amp;" x "&amp;E68&amp;" x "&amp;C11&amp;"%) / "&amp;B69</f>
        <v> (0 x 1 x % x 5% x 2600 x 2 x %) / 16,15</v>
      </c>
      <c r="E82" s="233"/>
      <c r="F82" s="218"/>
      <c r="G82" s="2"/>
      <c r="H82" s="2"/>
      <c r="I82" s="2"/>
      <c r="J82" s="15"/>
      <c r="K82" s="15"/>
      <c r="L82" s="68"/>
      <c r="M82" s="23"/>
      <c r="N82" s="23"/>
      <c r="O82" s="13"/>
      <c r="Q82" s="6"/>
      <c r="AF82" s="17"/>
      <c r="AG82" s="17"/>
      <c r="AH82" s="17"/>
      <c r="AX82" s="5"/>
      <c r="AY82" s="5"/>
      <c r="EJ82" s="6"/>
      <c r="EK82" s="6"/>
    </row>
    <row r="83" spans="1:141" ht="12.75">
      <c r="A83" s="178" t="s">
        <v>102</v>
      </c>
      <c r="B83" s="186">
        <f>IF(B65&gt;0,B65/100*B67*E64%*E67%*E65*E68,0)</f>
        <v>0</v>
      </c>
      <c r="C83" s="137" t="s">
        <v>101</v>
      </c>
      <c r="D83" s="178" t="s">
        <v>102</v>
      </c>
      <c r="E83" s="186">
        <f>IF(B65&gt;0,B65/100*B67*E64%*E67%*E66*E68,0)</f>
        <v>0</v>
      </c>
      <c r="F83" s="137" t="s">
        <v>101</v>
      </c>
      <c r="G83" s="2"/>
      <c r="H83" s="2"/>
      <c r="I83" s="2"/>
      <c r="J83" s="15"/>
      <c r="K83" s="15"/>
      <c r="L83" s="68"/>
      <c r="M83" s="23"/>
      <c r="N83" s="23"/>
      <c r="O83" s="13"/>
      <c r="Q83" s="6"/>
      <c r="AF83" s="17"/>
      <c r="AG83" s="17"/>
      <c r="AH83" s="17"/>
      <c r="AX83" s="5"/>
      <c r="AY83" s="5"/>
      <c r="EJ83" s="6"/>
      <c r="EK83" s="6"/>
    </row>
    <row r="84" spans="1:141" ht="12.75">
      <c r="A84" s="178" t="s">
        <v>102</v>
      </c>
      <c r="B84" s="186">
        <f>IF(B65&gt;0,B65/100*B67*E64%*E67%*E65*E68/B68,0)</f>
        <v>0</v>
      </c>
      <c r="C84" s="137" t="s">
        <v>12</v>
      </c>
      <c r="D84" s="178" t="s">
        <v>102</v>
      </c>
      <c r="E84" s="186">
        <f>IF(B65&gt;0,B65/100*B67*E64%*E67%*E66*E68/B69,0)</f>
        <v>0</v>
      </c>
      <c r="F84" s="137" t="s">
        <v>12</v>
      </c>
      <c r="G84" s="2"/>
      <c r="H84" s="2"/>
      <c r="I84" s="2"/>
      <c r="J84" s="15"/>
      <c r="K84" s="15"/>
      <c r="L84" s="68"/>
      <c r="M84" s="23"/>
      <c r="N84" s="23"/>
      <c r="O84" s="13"/>
      <c r="Q84" s="6"/>
      <c r="AF84" s="17"/>
      <c r="AG84" s="17"/>
      <c r="AH84" s="17"/>
      <c r="AX84" s="5"/>
      <c r="AY84" s="5"/>
      <c r="EJ84" s="6"/>
      <c r="EK84" s="6"/>
    </row>
    <row r="85" spans="1:141" ht="13.5" thickBot="1">
      <c r="A85" s="158" t="s">
        <v>48</v>
      </c>
      <c r="B85" s="192">
        <f>IF(B65&gt;0,B65/100*B67*E64%*E67%*E65*E68*B70%/B68,0)</f>
        <v>0</v>
      </c>
      <c r="C85" s="159" t="s">
        <v>12</v>
      </c>
      <c r="D85" s="168" t="s">
        <v>48</v>
      </c>
      <c r="E85" s="192">
        <f>IF(B65&gt;0,B65/100*B67*E64%*E67%*E66*E68*B70%/B69,0)</f>
        <v>0</v>
      </c>
      <c r="F85" s="159" t="s">
        <v>12</v>
      </c>
      <c r="G85" s="2"/>
      <c r="H85" s="2"/>
      <c r="I85" s="2"/>
      <c r="J85" s="15"/>
      <c r="K85" s="15"/>
      <c r="L85" s="68"/>
      <c r="M85" s="23"/>
      <c r="N85" s="23"/>
      <c r="O85" s="13"/>
      <c r="Q85" s="6"/>
      <c r="AF85" s="17"/>
      <c r="AG85" s="17"/>
      <c r="AH85" s="17"/>
      <c r="AX85" s="5"/>
      <c r="AY85" s="5"/>
      <c r="EJ85" s="6"/>
      <c r="EK85" s="6"/>
    </row>
    <row r="86" spans="1:141" ht="12.75">
      <c r="A86" s="258" t="str">
        <f>"Residents: Inhalation exposure to vapour"</f>
        <v>Residents: Inhalation exposure to vapour</v>
      </c>
      <c r="B86" s="259"/>
      <c r="C86" s="259"/>
      <c r="D86" s="259"/>
      <c r="E86" s="259"/>
      <c r="F86" s="260"/>
      <c r="G86" s="2"/>
      <c r="H86" s="2"/>
      <c r="I86" s="2"/>
      <c r="J86" s="15"/>
      <c r="K86" s="15"/>
      <c r="L86" s="68"/>
      <c r="M86" s="23"/>
      <c r="N86" s="23"/>
      <c r="O86" s="13"/>
      <c r="Q86" s="6"/>
      <c r="AF86" s="17"/>
      <c r="AG86" s="17"/>
      <c r="AH86" s="17"/>
      <c r="AX86" s="5"/>
      <c r="AY86" s="5"/>
      <c r="EJ86" s="6"/>
      <c r="EK86" s="6"/>
    </row>
    <row r="87" spans="1:141" ht="12.75">
      <c r="A87" s="232" t="s">
        <v>89</v>
      </c>
      <c r="B87" s="233"/>
      <c r="C87" s="218"/>
      <c r="D87" s="219" t="s">
        <v>89</v>
      </c>
      <c r="E87" s="233"/>
      <c r="F87" s="218"/>
      <c r="G87" s="2"/>
      <c r="H87" s="2"/>
      <c r="I87" s="2"/>
      <c r="J87" s="15"/>
      <c r="K87" s="15"/>
      <c r="L87" s="68"/>
      <c r="M87" s="23"/>
      <c r="N87" s="23"/>
      <c r="O87" s="13"/>
      <c r="Q87" s="6"/>
      <c r="AA87" s="10"/>
      <c r="AB87" s="10"/>
      <c r="AF87" s="17"/>
      <c r="AG87" s="17"/>
      <c r="AH87" s="17"/>
      <c r="AX87" s="5"/>
      <c r="AY87" s="5"/>
      <c r="EJ87" s="6"/>
      <c r="EK87" s="6"/>
    </row>
    <row r="88" spans="1:141" ht="12.75">
      <c r="A88" s="232" t="str">
        <f>IF(D26&lt;&gt;""," ("&amp;D26&amp;" x "&amp;E70&amp;" x "&amp;C12&amp;"%) / "&amp;B68," (0 x "&amp;E70&amp;" x "&amp;C12&amp;"%) / "&amp;B68)</f>
        <v> (0 x 16,57 x 100%) / 60</v>
      </c>
      <c r="B88" s="233"/>
      <c r="C88" s="218"/>
      <c r="D88" s="219" t="str">
        <f>IF(D26&lt;&gt;""," ("&amp;D26&amp;" x "&amp;E71&amp;" x "&amp;C12&amp;"%) / "&amp;B69," (0 x "&amp;E71&amp;" x "&amp;C12&amp;"%) / "&amp;B69)</f>
        <v> (0 x 8,31 x 100%) / 16,15</v>
      </c>
      <c r="E88" s="233"/>
      <c r="F88" s="218"/>
      <c r="G88" s="2"/>
      <c r="H88" s="2"/>
      <c r="I88" s="2"/>
      <c r="J88" s="15"/>
      <c r="K88" s="15"/>
      <c r="L88" s="68"/>
      <c r="M88" s="23"/>
      <c r="N88" s="23"/>
      <c r="O88" s="13"/>
      <c r="Q88" s="6"/>
      <c r="AF88" s="17"/>
      <c r="AG88" s="17"/>
      <c r="AH88" s="17"/>
      <c r="AX88" s="5"/>
      <c r="AY88" s="5"/>
      <c r="EJ88" s="6"/>
      <c r="EK88" s="6"/>
    </row>
    <row r="89" spans="1:141" ht="12.75">
      <c r="A89" s="178" t="s">
        <v>102</v>
      </c>
      <c r="B89" s="186">
        <f>IF(E69="none",0,E69*E70)</f>
        <v>0</v>
      </c>
      <c r="C89" s="137" t="s">
        <v>101</v>
      </c>
      <c r="D89" s="178" t="s">
        <v>102</v>
      </c>
      <c r="E89" s="186">
        <f>IF(E69="none",0,E69*E71)</f>
        <v>0</v>
      </c>
      <c r="F89" s="137" t="s">
        <v>101</v>
      </c>
      <c r="G89" s="2"/>
      <c r="H89" s="2"/>
      <c r="I89" s="2"/>
      <c r="J89" s="15"/>
      <c r="K89" s="15"/>
      <c r="L89" s="68"/>
      <c r="M89" s="23"/>
      <c r="N89" s="23"/>
      <c r="O89" s="13"/>
      <c r="Q89" s="6"/>
      <c r="AF89" s="17"/>
      <c r="AG89" s="17"/>
      <c r="AH89" s="17"/>
      <c r="AX89" s="5"/>
      <c r="AY89" s="5"/>
      <c r="EJ89" s="6"/>
      <c r="EK89" s="6"/>
    </row>
    <row r="90" spans="1:141" ht="12.75">
      <c r="A90" s="178" t="s">
        <v>102</v>
      </c>
      <c r="B90" s="186">
        <f>IF(E69="none",0,E69*E70/B68)</f>
        <v>0</v>
      </c>
      <c r="C90" s="137" t="s">
        <v>12</v>
      </c>
      <c r="D90" s="178" t="s">
        <v>102</v>
      </c>
      <c r="E90" s="186">
        <f>IF(E69="none",0,E69*E71/B69)</f>
        <v>0</v>
      </c>
      <c r="F90" s="137" t="s">
        <v>12</v>
      </c>
      <c r="G90" s="2"/>
      <c r="H90" s="2"/>
      <c r="I90" s="2"/>
      <c r="J90" s="15"/>
      <c r="K90" s="15"/>
      <c r="L90" s="68"/>
      <c r="M90" s="23"/>
      <c r="N90" s="23"/>
      <c r="O90" s="13"/>
      <c r="Q90" s="6"/>
      <c r="AF90" s="17"/>
      <c r="AG90" s="17"/>
      <c r="AH90" s="17"/>
      <c r="AX90" s="5"/>
      <c r="AY90" s="5"/>
      <c r="EJ90" s="6"/>
      <c r="EK90" s="6"/>
    </row>
    <row r="91" spans="1:141" ht="13.5" thickBot="1">
      <c r="A91" s="158" t="s">
        <v>48</v>
      </c>
      <c r="B91" s="192">
        <f>IF(E69="none",0,E69*E70*B71%/B68)</f>
        <v>0</v>
      </c>
      <c r="C91" s="159" t="str">
        <f>IF(B91=0,"none","mg/kg bw/d")</f>
        <v>none</v>
      </c>
      <c r="D91" s="168" t="s">
        <v>48</v>
      </c>
      <c r="E91" s="192">
        <f>IF(E69="none",0,E69*E71*B71%/B69)</f>
        <v>0</v>
      </c>
      <c r="F91" s="159" t="str">
        <f>IF(E91=0,"none","mg/kg bw/d")</f>
        <v>none</v>
      </c>
      <c r="G91" s="2"/>
      <c r="H91" s="2"/>
      <c r="I91" s="2"/>
      <c r="J91" s="15"/>
      <c r="K91" s="15"/>
      <c r="L91" s="68"/>
      <c r="M91" s="23"/>
      <c r="N91" s="23"/>
      <c r="O91" s="13"/>
      <c r="P91" s="35"/>
      <c r="Q91" s="6"/>
      <c r="AF91" s="17"/>
      <c r="AG91" s="17"/>
      <c r="AH91" s="17"/>
      <c r="AX91" s="5"/>
      <c r="AY91" s="5"/>
      <c r="EJ91" s="6"/>
      <c r="EK91" s="6"/>
    </row>
    <row r="92" spans="1:141" ht="12.75">
      <c r="A92" s="269"/>
      <c r="B92" s="270"/>
      <c r="C92" s="224"/>
      <c r="D92" s="261" t="s">
        <v>70</v>
      </c>
      <c r="E92" s="259"/>
      <c r="F92" s="260"/>
      <c r="G92" s="2"/>
      <c r="H92" s="2"/>
      <c r="I92" s="2"/>
      <c r="J92" s="15"/>
      <c r="K92" s="15"/>
      <c r="L92" s="68"/>
      <c r="M92" s="23"/>
      <c r="N92" s="23"/>
      <c r="O92" s="13"/>
      <c r="P92" s="36"/>
      <c r="Q92" s="6"/>
      <c r="AF92" s="17"/>
      <c r="AG92" s="17"/>
      <c r="AH92" s="17"/>
      <c r="AX92" s="5"/>
      <c r="AY92" s="5"/>
      <c r="EJ92" s="6"/>
      <c r="EK92" s="6"/>
    </row>
    <row r="93" spans="1:141" ht="12.75">
      <c r="A93" s="232"/>
      <c r="B93" s="233"/>
      <c r="C93" s="218"/>
      <c r="D93" s="219" t="s">
        <v>90</v>
      </c>
      <c r="E93" s="233"/>
      <c r="F93" s="218"/>
      <c r="G93" s="2"/>
      <c r="H93" s="2"/>
      <c r="I93" s="2"/>
      <c r="J93" s="15"/>
      <c r="K93" s="15"/>
      <c r="L93" s="68"/>
      <c r="M93" s="23"/>
      <c r="N93" s="23"/>
      <c r="O93" s="13"/>
      <c r="Q93" s="6"/>
      <c r="AF93" s="17"/>
      <c r="AG93" s="17"/>
      <c r="AH93" s="17"/>
      <c r="AX93" s="5"/>
      <c r="AY93" s="5"/>
      <c r="EJ93" s="6"/>
      <c r="EK93" s="6"/>
    </row>
    <row r="94" spans="1:141" ht="12.75">
      <c r="A94" s="232"/>
      <c r="B94" s="233"/>
      <c r="C94" s="218"/>
      <c r="D94" s="219" t="str">
        <f>" ("&amp;C7/100&amp;" x "&amp;C8&amp;" x "&amp;X3&amp;"% x "&amp;E67&amp;"% x "&amp;E72&amp;"% x "&amp;E73&amp;" x "&amp;E74&amp;" x "&amp;E68&amp;" x "&amp;C13&amp;"%) / "&amp;B69</f>
        <v> (0 x 1 x % x 5% x 50% x 20 x 20 x 2 x 100%) / 16,15</v>
      </c>
      <c r="E94" s="233"/>
      <c r="F94" s="218"/>
      <c r="G94" s="2"/>
      <c r="H94" s="2"/>
      <c r="I94" s="2"/>
      <c r="J94" s="15"/>
      <c r="K94" s="15"/>
      <c r="L94" s="68"/>
      <c r="M94" s="23"/>
      <c r="N94" s="23"/>
      <c r="O94" s="13"/>
      <c r="Q94" s="6"/>
      <c r="AF94" s="17"/>
      <c r="AG94" s="17"/>
      <c r="AH94" s="17"/>
      <c r="AX94" s="5"/>
      <c r="AY94" s="5"/>
      <c r="EJ94" s="6"/>
      <c r="EK94" s="6"/>
    </row>
    <row r="95" spans="1:141" ht="12.75">
      <c r="A95" s="232"/>
      <c r="B95" s="233"/>
      <c r="C95" s="218"/>
      <c r="D95" s="178" t="s">
        <v>102</v>
      </c>
      <c r="E95" s="186">
        <f>IF(B65&gt;0,B65/100*B67*E64%*E67%*E72%*E73*E74*E68,0)</f>
        <v>0</v>
      </c>
      <c r="F95" s="137" t="s">
        <v>101</v>
      </c>
      <c r="G95" s="2"/>
      <c r="H95" s="2"/>
      <c r="I95" s="2"/>
      <c r="J95" s="15"/>
      <c r="K95" s="15"/>
      <c r="L95" s="68"/>
      <c r="M95" s="23"/>
      <c r="N95" s="23"/>
      <c r="O95" s="13"/>
      <c r="Q95" s="6"/>
      <c r="AF95" s="17"/>
      <c r="AG95" s="17"/>
      <c r="AH95" s="17"/>
      <c r="AX95" s="5"/>
      <c r="AY95" s="5"/>
      <c r="EJ95" s="6"/>
      <c r="EK95" s="6"/>
    </row>
    <row r="96" spans="1:141" ht="12.75">
      <c r="A96" s="232"/>
      <c r="B96" s="233"/>
      <c r="C96" s="218"/>
      <c r="D96" s="178" t="s">
        <v>102</v>
      </c>
      <c r="E96" s="186">
        <f>IF(B65&gt;0,B65/100*B67*E64%*E67%*E72%*E73*E74*E68/B69,0)</f>
        <v>0</v>
      </c>
      <c r="F96" s="137" t="s">
        <v>12</v>
      </c>
      <c r="G96" s="2"/>
      <c r="H96" s="2"/>
      <c r="I96" s="2"/>
      <c r="J96" s="15"/>
      <c r="K96" s="15"/>
      <c r="L96" s="68"/>
      <c r="M96" s="23"/>
      <c r="N96" s="23"/>
      <c r="O96" s="13"/>
      <c r="Q96" s="6"/>
      <c r="AF96" s="17"/>
      <c r="AG96" s="17"/>
      <c r="AH96" s="17"/>
      <c r="AX96" s="5"/>
      <c r="AY96" s="5"/>
      <c r="EJ96" s="6"/>
      <c r="EK96" s="6"/>
    </row>
    <row r="97" spans="1:141" ht="13.5" thickBot="1">
      <c r="A97" s="232"/>
      <c r="B97" s="233"/>
      <c r="C97" s="218"/>
      <c r="D97" s="168" t="s">
        <v>71</v>
      </c>
      <c r="E97" s="192">
        <f>IF(B65&gt;0,B65/100*B67*E64%*E67%*E72%*E73*E74*E68*B72%/B69,0)</f>
        <v>0</v>
      </c>
      <c r="F97" s="159" t="s">
        <v>12</v>
      </c>
      <c r="G97" s="2"/>
      <c r="H97" s="2"/>
      <c r="I97" s="2"/>
      <c r="J97" s="15"/>
      <c r="K97" s="15"/>
      <c r="L97" s="68"/>
      <c r="M97" s="23"/>
      <c r="N97" s="23"/>
      <c r="O97" s="13"/>
      <c r="Q97" s="6"/>
      <c r="AF97" s="17"/>
      <c r="AG97" s="17"/>
      <c r="AH97" s="17"/>
      <c r="AX97" s="5"/>
      <c r="AY97" s="5"/>
      <c r="EJ97" s="6"/>
      <c r="EK97" s="6"/>
    </row>
    <row r="98" spans="1:141" ht="12.75">
      <c r="A98" s="232"/>
      <c r="B98" s="233"/>
      <c r="C98" s="218"/>
      <c r="D98" s="261" t="s">
        <v>72</v>
      </c>
      <c r="E98" s="259"/>
      <c r="F98" s="260"/>
      <c r="G98" s="2"/>
      <c r="H98" s="2"/>
      <c r="I98" s="2"/>
      <c r="J98" s="15"/>
      <c r="K98" s="15"/>
      <c r="L98" s="68"/>
      <c r="M98" s="23"/>
      <c r="N98" s="23"/>
      <c r="O98" s="13"/>
      <c r="Q98" s="6"/>
      <c r="AF98" s="17"/>
      <c r="AG98" s="17"/>
      <c r="AH98" s="17"/>
      <c r="AX98" s="5"/>
      <c r="AY98" s="5"/>
      <c r="EJ98" s="6"/>
      <c r="EK98" s="6"/>
    </row>
    <row r="99" spans="1:141" ht="12.75">
      <c r="A99" s="232"/>
      <c r="B99" s="233"/>
      <c r="C99" s="218"/>
      <c r="D99" s="219" t="s">
        <v>91</v>
      </c>
      <c r="E99" s="233"/>
      <c r="F99" s="218"/>
      <c r="G99" s="2"/>
      <c r="H99" s="2"/>
      <c r="I99" s="2"/>
      <c r="J99" s="15"/>
      <c r="K99" s="15"/>
      <c r="L99" s="68"/>
      <c r="M99" s="23"/>
      <c r="N99" s="23"/>
      <c r="O99" s="13"/>
      <c r="Q99" s="6"/>
      <c r="AF99" s="17"/>
      <c r="AG99" s="17"/>
      <c r="AH99" s="17"/>
      <c r="AX99" s="5"/>
      <c r="AY99" s="5"/>
      <c r="EJ99" s="6"/>
      <c r="EK99" s="6"/>
    </row>
    <row r="100" spans="1:141" ht="12.75">
      <c r="A100" s="232"/>
      <c r="B100" s="233"/>
      <c r="C100" s="218"/>
      <c r="D100" s="219" t="str">
        <f>" ("&amp;C7/100&amp;" x "&amp;C8&amp;" x "&amp;X3&amp;"% x "&amp;E75&amp;"% x "&amp;E76&amp;" x "&amp;C13&amp;"%) / "&amp;B69</f>
        <v> (0 x 1 x % x 20% x 25 x 100%) / 16,15</v>
      </c>
      <c r="E100" s="233"/>
      <c r="F100" s="218"/>
      <c r="G100" s="2"/>
      <c r="H100" s="2"/>
      <c r="I100" s="2"/>
      <c r="J100" s="15"/>
      <c r="K100" s="15"/>
      <c r="L100" s="68"/>
      <c r="M100" s="23"/>
      <c r="N100" s="23"/>
      <c r="O100" s="13"/>
      <c r="Q100" s="6"/>
      <c r="AF100" s="17"/>
      <c r="AG100" s="17"/>
      <c r="AH100" s="17"/>
      <c r="AX100" s="5"/>
      <c r="AY100" s="5"/>
      <c r="EJ100" s="6"/>
      <c r="EK100" s="6"/>
    </row>
    <row r="101" spans="1:141" ht="12.75">
      <c r="A101" s="278"/>
      <c r="B101" s="279"/>
      <c r="C101" s="223"/>
      <c r="D101" s="178" t="s">
        <v>102</v>
      </c>
      <c r="E101" s="186">
        <f>IF(B65&gt;0,B65/100*B67*E64%*E75%*E76,0)</f>
        <v>0</v>
      </c>
      <c r="F101" s="137" t="s">
        <v>101</v>
      </c>
      <c r="G101" s="2"/>
      <c r="H101" s="2"/>
      <c r="I101" s="2"/>
      <c r="J101" s="15"/>
      <c r="K101" s="15"/>
      <c r="L101" s="68"/>
      <c r="M101" s="23"/>
      <c r="N101" s="23"/>
      <c r="O101" s="13"/>
      <c r="Q101" s="6"/>
      <c r="AF101" s="17"/>
      <c r="AG101" s="17"/>
      <c r="AH101" s="17"/>
      <c r="AX101" s="5"/>
      <c r="AY101" s="5"/>
      <c r="EJ101" s="6"/>
      <c r="EK101" s="6"/>
    </row>
    <row r="102" spans="1:141" ht="12.75">
      <c r="A102" s="278"/>
      <c r="B102" s="279"/>
      <c r="C102" s="223"/>
      <c r="D102" s="178" t="s">
        <v>102</v>
      </c>
      <c r="E102" s="186">
        <f>IF(B65&gt;0,B65/100*B67*E64%*E75%*E76/B69,0)</f>
        <v>0</v>
      </c>
      <c r="F102" s="137" t="s">
        <v>12</v>
      </c>
      <c r="G102" s="2"/>
      <c r="H102" s="2"/>
      <c r="I102" s="2"/>
      <c r="J102" s="15"/>
      <c r="K102" s="15"/>
      <c r="L102" s="68"/>
      <c r="M102" s="23"/>
      <c r="N102" s="23"/>
      <c r="O102" s="13"/>
      <c r="Q102" s="6"/>
      <c r="AF102" s="17"/>
      <c r="AG102" s="17"/>
      <c r="AH102" s="17"/>
      <c r="AX102" s="5"/>
      <c r="AY102" s="5"/>
      <c r="EJ102" s="6"/>
      <c r="EK102" s="6"/>
    </row>
    <row r="103" spans="1:141" ht="13.5" thickBot="1">
      <c r="A103" s="278"/>
      <c r="B103" s="279"/>
      <c r="C103" s="223"/>
      <c r="D103" s="156" t="s">
        <v>71</v>
      </c>
      <c r="E103" s="213">
        <f>IF(B65&gt;0,B65/100*B67*E64%*E75%*E76*B72%/B69,0)</f>
        <v>0</v>
      </c>
      <c r="F103" s="173" t="s">
        <v>12</v>
      </c>
      <c r="G103" s="2"/>
      <c r="H103" s="2"/>
      <c r="I103" s="2"/>
      <c r="J103" s="15"/>
      <c r="K103" s="15"/>
      <c r="L103" s="68"/>
      <c r="M103" s="23"/>
      <c r="N103" s="23"/>
      <c r="O103" s="13"/>
      <c r="Q103" s="6"/>
      <c r="AF103" s="17"/>
      <c r="AG103" s="17"/>
      <c r="AH103" s="17"/>
      <c r="AX103" s="5"/>
      <c r="AY103" s="5"/>
      <c r="EJ103" s="6"/>
      <c r="EK103" s="6"/>
    </row>
    <row r="104" spans="1:141" ht="25.5" customHeight="1">
      <c r="A104" s="274" t="s">
        <v>92</v>
      </c>
      <c r="B104" s="275"/>
      <c r="C104" s="276"/>
      <c r="D104" s="277" t="s">
        <v>93</v>
      </c>
      <c r="E104" s="275"/>
      <c r="F104" s="276"/>
      <c r="G104" s="2"/>
      <c r="H104" s="2"/>
      <c r="I104" s="2"/>
      <c r="J104" s="15"/>
      <c r="K104" s="15"/>
      <c r="L104" s="68"/>
      <c r="M104" s="23"/>
      <c r="N104" s="23"/>
      <c r="O104" s="13"/>
      <c r="Q104" s="6"/>
      <c r="AF104" s="17"/>
      <c r="AG104" s="17"/>
      <c r="AH104" s="17"/>
      <c r="AX104" s="5"/>
      <c r="AY104" s="5"/>
      <c r="EJ104" s="6"/>
      <c r="EK104" s="6"/>
    </row>
    <row r="105" spans="1:141" ht="25.5">
      <c r="A105" s="179" t="s">
        <v>103</v>
      </c>
      <c r="B105" s="187">
        <f>B106*B68</f>
        <v>0</v>
      </c>
      <c r="C105" s="114" t="s">
        <v>101</v>
      </c>
      <c r="D105" s="179" t="s">
        <v>103</v>
      </c>
      <c r="E105" s="187">
        <f>E106*B69</f>
        <v>0</v>
      </c>
      <c r="F105" s="114" t="s">
        <v>101</v>
      </c>
      <c r="G105" s="2"/>
      <c r="H105" s="2"/>
      <c r="I105" s="2"/>
      <c r="J105" s="15"/>
      <c r="K105" s="15"/>
      <c r="L105" s="68"/>
      <c r="M105" s="23"/>
      <c r="N105" s="23"/>
      <c r="O105" s="13"/>
      <c r="Q105" s="6"/>
      <c r="AF105" s="17"/>
      <c r="AG105" s="17"/>
      <c r="AH105" s="17"/>
      <c r="AX105" s="5"/>
      <c r="AY105" s="5"/>
      <c r="EJ105" s="6"/>
      <c r="EK105" s="6"/>
    </row>
    <row r="106" spans="1:141" ht="25.5">
      <c r="A106" s="135" t="s">
        <v>82</v>
      </c>
      <c r="B106" s="193">
        <f>B91+B85</f>
        <v>0</v>
      </c>
      <c r="C106" s="171" t="s">
        <v>12</v>
      </c>
      <c r="D106" s="162" t="s">
        <v>82</v>
      </c>
      <c r="E106" s="193">
        <f>E103+E97+E91+E85</f>
        <v>0</v>
      </c>
      <c r="F106" s="171" t="s">
        <v>12</v>
      </c>
      <c r="G106" s="2"/>
      <c r="H106" s="2"/>
      <c r="I106" s="2"/>
      <c r="J106" s="15"/>
      <c r="K106" s="15"/>
      <c r="L106" s="68"/>
      <c r="M106" s="23"/>
      <c r="N106" s="23"/>
      <c r="O106" s="13"/>
      <c r="Q106" s="6"/>
      <c r="AF106" s="17"/>
      <c r="AG106" s="17"/>
      <c r="AH106" s="17"/>
      <c r="AX106" s="5"/>
      <c r="AY106" s="5"/>
      <c r="EJ106" s="6"/>
      <c r="EK106" s="6"/>
    </row>
    <row r="107" spans="1:141" ht="13.5" thickBot="1">
      <c r="A107" s="158" t="s">
        <v>50</v>
      </c>
      <c r="B107" s="194">
        <f>IF(B73&gt;0,B106*100/B73,0)</f>
        <v>0</v>
      </c>
      <c r="C107" s="159" t="s">
        <v>55</v>
      </c>
      <c r="D107" s="168" t="s">
        <v>50</v>
      </c>
      <c r="E107" s="194">
        <f>IF(B73&gt;0,E106*100/B73,0)</f>
        <v>0</v>
      </c>
      <c r="F107" s="159" t="s">
        <v>55</v>
      </c>
      <c r="G107" s="2"/>
      <c r="H107" s="2"/>
      <c r="I107" s="2"/>
      <c r="J107" s="15"/>
      <c r="K107" s="15"/>
      <c r="L107" s="68"/>
      <c r="M107" s="23"/>
      <c r="N107" s="23"/>
      <c r="O107" s="15"/>
      <c r="P107" s="15"/>
      <c r="Q107" s="6"/>
      <c r="AF107" s="17"/>
      <c r="AG107" s="17"/>
      <c r="AH107" s="17"/>
      <c r="AX107" s="5"/>
      <c r="AY107" s="5"/>
      <c r="EJ107" s="6"/>
      <c r="EK107" s="6"/>
    </row>
    <row r="108" spans="7:141" ht="12.75">
      <c r="G108" s="15"/>
      <c r="H108" s="2"/>
      <c r="I108" s="2"/>
      <c r="J108" s="2"/>
      <c r="K108" s="15"/>
      <c r="L108" s="15"/>
      <c r="M108" s="15"/>
      <c r="N108" s="68"/>
      <c r="O108" s="23"/>
      <c r="P108" s="23"/>
      <c r="Q108" s="6"/>
      <c r="AF108" s="17"/>
      <c r="AG108" s="17"/>
      <c r="AH108" s="17"/>
      <c r="AX108" s="5"/>
      <c r="AY108" s="5"/>
      <c r="EJ108" s="6"/>
      <c r="EK108" s="6"/>
    </row>
    <row r="109" spans="7:141" ht="12.75">
      <c r="G109" s="23"/>
      <c r="H109" s="23"/>
      <c r="I109" s="23"/>
      <c r="J109" s="2"/>
      <c r="K109" s="2"/>
      <c r="L109" s="2"/>
      <c r="M109" s="2"/>
      <c r="N109" s="2"/>
      <c r="O109" s="23"/>
      <c r="P109" s="23"/>
      <c r="Q109" s="6"/>
      <c r="AF109" s="17"/>
      <c r="AG109" s="17"/>
      <c r="AH109" s="17"/>
      <c r="AX109" s="5"/>
      <c r="AY109" s="5"/>
      <c r="EJ109" s="6"/>
      <c r="EK109" s="6"/>
    </row>
    <row r="110" spans="7:141" ht="12.7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6"/>
      <c r="AF110" s="17"/>
      <c r="AG110" s="17"/>
      <c r="AH110" s="17"/>
      <c r="AX110" s="5"/>
      <c r="AY110" s="5"/>
      <c r="EJ110" s="6"/>
      <c r="EK110" s="6"/>
    </row>
    <row r="111" spans="7:141" ht="12.7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6"/>
      <c r="AF111" s="17"/>
      <c r="AG111" s="17"/>
      <c r="AH111" s="17"/>
      <c r="AX111" s="5"/>
      <c r="AY111" s="5"/>
      <c r="EJ111" s="6"/>
      <c r="EK111" s="6"/>
    </row>
    <row r="112" spans="7:141" ht="12.75">
      <c r="G112" s="2"/>
      <c r="H112" s="2"/>
      <c r="I112" s="88"/>
      <c r="J112" s="2"/>
      <c r="K112" s="2"/>
      <c r="L112" s="2"/>
      <c r="M112" s="2"/>
      <c r="N112" s="2"/>
      <c r="O112" s="2"/>
      <c r="P112" s="2"/>
      <c r="Q112" s="6"/>
      <c r="AF112" s="17"/>
      <c r="AG112" s="17"/>
      <c r="AH112" s="17"/>
      <c r="AX112" s="5"/>
      <c r="AY112" s="5"/>
      <c r="EJ112" s="6"/>
      <c r="EK112" s="6"/>
    </row>
    <row r="113" spans="7:141" ht="12.75">
      <c r="G113" s="4"/>
      <c r="H113" s="2"/>
      <c r="I113" s="88"/>
      <c r="J113" s="2"/>
      <c r="K113" s="4"/>
      <c r="L113" s="89"/>
      <c r="M113" s="89"/>
      <c r="N113" s="4"/>
      <c r="O113" s="4"/>
      <c r="P113" s="4"/>
      <c r="Q113" s="6"/>
      <c r="AF113" s="17"/>
      <c r="AG113" s="17"/>
      <c r="AH113" s="17"/>
      <c r="AX113" s="5"/>
      <c r="AY113" s="5"/>
      <c r="EJ113" s="6"/>
      <c r="EK113" s="6"/>
    </row>
    <row r="114" spans="7:141" ht="12.75">
      <c r="G114" s="2"/>
      <c r="H114" s="116"/>
      <c r="I114" s="88"/>
      <c r="J114" s="2"/>
      <c r="K114" s="91"/>
      <c r="L114" s="2"/>
      <c r="M114" s="2"/>
      <c r="N114" s="2"/>
      <c r="O114" s="2"/>
      <c r="P114" s="2"/>
      <c r="Q114" s="6"/>
      <c r="AF114" s="17"/>
      <c r="AG114" s="17"/>
      <c r="AH114" s="17"/>
      <c r="AX114" s="5"/>
      <c r="AY114" s="5"/>
      <c r="EJ114" s="6"/>
      <c r="EK114" s="6"/>
    </row>
    <row r="115" spans="7:141" ht="12.75">
      <c r="G115" s="2"/>
      <c r="H115" s="2"/>
      <c r="I115" s="90"/>
      <c r="J115" s="93"/>
      <c r="K115" s="2"/>
      <c r="L115" s="90"/>
      <c r="M115" s="2"/>
      <c r="N115" s="93"/>
      <c r="O115" s="2"/>
      <c r="P115" s="2"/>
      <c r="Q115" s="6"/>
      <c r="AF115" s="17"/>
      <c r="AG115" s="17"/>
      <c r="AH115" s="17"/>
      <c r="AX115" s="5"/>
      <c r="AY115" s="5"/>
      <c r="EJ115" s="6"/>
      <c r="EK115" s="6"/>
    </row>
    <row r="116" spans="7:141" ht="12.75">
      <c r="G116" s="2"/>
      <c r="H116" s="2"/>
      <c r="I116" s="90"/>
      <c r="J116" s="94"/>
      <c r="K116" s="2"/>
      <c r="L116" s="2"/>
      <c r="M116" s="2"/>
      <c r="N116" s="94"/>
      <c r="O116" s="2"/>
      <c r="P116" s="2"/>
      <c r="Q116" s="6"/>
      <c r="AF116" s="17"/>
      <c r="AG116" s="17"/>
      <c r="AH116" s="17"/>
      <c r="AX116" s="5"/>
      <c r="AY116" s="5"/>
      <c r="EJ116" s="6"/>
      <c r="EK116" s="6"/>
    </row>
    <row r="117" spans="7:141" ht="12.75">
      <c r="G117" s="2"/>
      <c r="H117" s="2"/>
      <c r="I117" s="90"/>
      <c r="J117" s="95"/>
      <c r="K117" s="23"/>
      <c r="L117" s="2"/>
      <c r="M117" s="2"/>
      <c r="N117" s="2"/>
      <c r="O117" s="2"/>
      <c r="P117" s="2"/>
      <c r="Q117" s="6"/>
      <c r="AF117" s="17"/>
      <c r="AG117" s="17"/>
      <c r="AH117" s="17"/>
      <c r="AX117" s="5"/>
      <c r="AY117" s="5"/>
      <c r="EJ117" s="6"/>
      <c r="EK117" s="6"/>
    </row>
    <row r="118" spans="7:141" ht="12.75">
      <c r="G118" s="96"/>
      <c r="H118" s="2"/>
      <c r="I118" s="236"/>
      <c r="J118" s="236"/>
      <c r="K118" s="236"/>
      <c r="L118" s="236"/>
      <c r="M118" s="236"/>
      <c r="N118" s="236"/>
      <c r="O118" s="236"/>
      <c r="P118" s="96"/>
      <c r="Q118" s="6"/>
      <c r="AF118" s="17"/>
      <c r="AG118" s="17"/>
      <c r="AH118" s="17"/>
      <c r="AX118" s="5"/>
      <c r="AY118" s="5"/>
      <c r="EJ118" s="6"/>
      <c r="EK118" s="6"/>
    </row>
    <row r="119" spans="7:141" ht="12.75">
      <c r="G119" s="96"/>
      <c r="H119" s="2"/>
      <c r="I119" s="236"/>
      <c r="J119" s="236"/>
      <c r="K119" s="236"/>
      <c r="L119" s="236"/>
      <c r="M119" s="236"/>
      <c r="N119" s="236"/>
      <c r="O119" s="236"/>
      <c r="P119" s="96"/>
      <c r="Q119" s="6"/>
      <c r="AF119" s="17"/>
      <c r="AG119" s="17"/>
      <c r="AH119" s="17"/>
      <c r="AX119" s="5"/>
      <c r="AY119" s="5"/>
      <c r="EJ119" s="6"/>
      <c r="EK119" s="6"/>
    </row>
    <row r="120" spans="7:141" ht="12.75">
      <c r="G120" s="96"/>
      <c r="H120" s="2"/>
      <c r="I120" s="96"/>
      <c r="J120" s="2"/>
      <c r="K120" s="2"/>
      <c r="L120" s="97"/>
      <c r="M120" s="98"/>
      <c r="N120" s="2"/>
      <c r="O120" s="96"/>
      <c r="P120" s="96"/>
      <c r="Q120" s="6"/>
      <c r="AF120" s="17"/>
      <c r="AG120" s="17"/>
      <c r="AH120" s="17"/>
      <c r="AX120" s="5"/>
      <c r="AY120" s="5"/>
      <c r="EJ120" s="6"/>
      <c r="EK120" s="6"/>
    </row>
    <row r="121" spans="7:141" ht="12.75">
      <c r="G121" s="96"/>
      <c r="H121" s="2"/>
      <c r="I121" s="96"/>
      <c r="J121" s="2"/>
      <c r="K121" s="2"/>
      <c r="L121" s="97"/>
      <c r="M121" s="98"/>
      <c r="N121" s="2"/>
      <c r="O121" s="96"/>
      <c r="P121" s="96"/>
      <c r="Q121" s="6"/>
      <c r="AF121" s="17"/>
      <c r="AG121" s="17"/>
      <c r="AH121" s="17"/>
      <c r="AX121" s="5"/>
      <c r="AY121" s="5"/>
      <c r="EJ121" s="6"/>
      <c r="EK121" s="6"/>
    </row>
    <row r="122" spans="7:141" ht="12.75">
      <c r="G122" s="2"/>
      <c r="H122" s="2"/>
      <c r="I122" s="90"/>
      <c r="J122" s="95"/>
      <c r="K122" s="23"/>
      <c r="L122" s="2"/>
      <c r="M122" s="2"/>
      <c r="N122" s="2"/>
      <c r="O122" s="2"/>
      <c r="P122" s="2"/>
      <c r="Q122" s="6"/>
      <c r="AF122" s="17"/>
      <c r="AG122" s="17"/>
      <c r="AH122" s="17"/>
      <c r="AX122" s="5"/>
      <c r="AY122" s="5"/>
      <c r="EJ122" s="6"/>
      <c r="EK122" s="6"/>
    </row>
    <row r="123" spans="7:141" ht="12.7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6"/>
      <c r="AF123" s="17"/>
      <c r="AG123" s="17"/>
      <c r="AH123" s="17"/>
      <c r="AX123" s="5"/>
      <c r="AY123" s="5"/>
      <c r="EJ123" s="6"/>
      <c r="EK123" s="6"/>
    </row>
    <row r="124" spans="7:141" ht="12.75">
      <c r="G124" s="2"/>
      <c r="H124" s="2"/>
      <c r="I124" s="88"/>
      <c r="J124" s="2"/>
      <c r="K124" s="2"/>
      <c r="L124" s="2"/>
      <c r="M124" s="2"/>
      <c r="N124" s="2"/>
      <c r="O124" s="2"/>
      <c r="P124" s="2"/>
      <c r="Q124" s="6"/>
      <c r="AF124" s="17"/>
      <c r="AG124" s="17"/>
      <c r="AH124" s="17"/>
      <c r="AX124" s="5"/>
      <c r="AY124" s="5"/>
      <c r="EJ124" s="6"/>
      <c r="EK124" s="6"/>
    </row>
    <row r="125" spans="7:36" ht="12.75">
      <c r="G125" s="2"/>
      <c r="H125" s="2"/>
      <c r="I125" s="88"/>
      <c r="J125" s="100"/>
      <c r="K125" s="4"/>
      <c r="L125" s="4"/>
      <c r="M125" s="4"/>
      <c r="N125" s="99"/>
      <c r="O125" s="2"/>
      <c r="P125" s="2"/>
      <c r="AH125" s="17"/>
      <c r="AI125" s="17"/>
      <c r="AJ125" s="17"/>
    </row>
    <row r="126" spans="7:36" ht="12.75">
      <c r="G126" s="2"/>
      <c r="H126" s="2"/>
      <c r="I126" s="88"/>
      <c r="J126" s="92"/>
      <c r="K126" s="91"/>
      <c r="L126" s="2"/>
      <c r="M126" s="101"/>
      <c r="N126" s="2"/>
      <c r="O126" s="2"/>
      <c r="P126" s="2"/>
      <c r="AH126" s="17"/>
      <c r="AI126" s="17"/>
      <c r="AJ126" s="17"/>
    </row>
    <row r="127" spans="7:36" ht="12.75">
      <c r="G127" s="2"/>
      <c r="H127" s="2"/>
      <c r="I127" s="90"/>
      <c r="J127" s="92"/>
      <c r="K127" s="2"/>
      <c r="L127" s="90"/>
      <c r="M127" s="101"/>
      <c r="N127" s="2"/>
      <c r="O127" s="2"/>
      <c r="P127" s="2"/>
      <c r="AH127" s="17"/>
      <c r="AI127" s="17"/>
      <c r="AJ127" s="17"/>
    </row>
    <row r="128" spans="7:36" ht="12.75">
      <c r="G128" s="2"/>
      <c r="H128" s="33"/>
      <c r="I128" s="90"/>
      <c r="J128" s="92"/>
      <c r="K128" s="2"/>
      <c r="L128" s="90"/>
      <c r="M128" s="101"/>
      <c r="N128" s="2"/>
      <c r="O128" s="2"/>
      <c r="P128" s="2"/>
      <c r="AH128" s="17"/>
      <c r="AI128" s="17"/>
      <c r="AJ128" s="17"/>
    </row>
    <row r="129" spans="7:44" ht="12.75">
      <c r="G129" s="88"/>
      <c r="H129" s="2"/>
      <c r="I129" s="90"/>
      <c r="J129" s="23"/>
      <c r="K129" s="2"/>
      <c r="L129" s="90"/>
      <c r="M129" s="101"/>
      <c r="N129" s="88"/>
      <c r="O129" s="88"/>
      <c r="P129" s="88"/>
      <c r="AH129" s="17"/>
      <c r="AI129" s="17"/>
      <c r="AJ129" s="17"/>
      <c r="AM129" s="37"/>
      <c r="AN129" s="37"/>
      <c r="AO129" s="37"/>
      <c r="AP129" s="37"/>
      <c r="AQ129" s="37"/>
      <c r="AR129" s="37"/>
    </row>
    <row r="130" spans="7:44" ht="12.75">
      <c r="G130" s="96"/>
      <c r="H130" s="2"/>
      <c r="I130" s="236"/>
      <c r="J130" s="236"/>
      <c r="K130" s="236"/>
      <c r="L130" s="236"/>
      <c r="M130" s="236"/>
      <c r="N130" s="236"/>
      <c r="O130" s="236"/>
      <c r="P130" s="96"/>
      <c r="AH130" s="17"/>
      <c r="AI130" s="17"/>
      <c r="AJ130" s="17"/>
      <c r="AM130" s="37"/>
      <c r="AN130" s="37"/>
      <c r="AO130" s="37"/>
      <c r="AP130" s="37"/>
      <c r="AQ130" s="37"/>
      <c r="AR130" s="37"/>
    </row>
    <row r="131" spans="7:44" ht="12.75">
      <c r="G131" s="96"/>
      <c r="H131" s="2"/>
      <c r="I131" s="236"/>
      <c r="J131" s="236"/>
      <c r="K131" s="236"/>
      <c r="L131" s="236"/>
      <c r="M131" s="236"/>
      <c r="N131" s="236"/>
      <c r="O131" s="236"/>
      <c r="P131" s="96"/>
      <c r="AH131" s="17"/>
      <c r="AI131" s="17"/>
      <c r="AJ131" s="17"/>
      <c r="AM131" s="17"/>
      <c r="AN131" s="38"/>
      <c r="AO131" s="17"/>
      <c r="AP131" s="17"/>
      <c r="AQ131" s="38"/>
      <c r="AR131" s="17"/>
    </row>
    <row r="132" spans="7:44" ht="12.75">
      <c r="G132" s="2"/>
      <c r="H132" s="2"/>
      <c r="I132" s="2"/>
      <c r="J132" s="2"/>
      <c r="K132" s="2"/>
      <c r="L132" s="97"/>
      <c r="M132" s="98"/>
      <c r="N132" s="2"/>
      <c r="O132" s="2"/>
      <c r="P132" s="2"/>
      <c r="AH132" s="17"/>
      <c r="AI132" s="17"/>
      <c r="AJ132" s="17"/>
      <c r="AM132" s="17"/>
      <c r="AN132" s="39"/>
      <c r="AO132" s="17"/>
      <c r="AP132" s="17"/>
      <c r="AQ132" s="39"/>
      <c r="AR132" s="17"/>
    </row>
    <row r="133" spans="7:44" ht="12.75">
      <c r="G133" s="2"/>
      <c r="H133" s="2"/>
      <c r="I133" s="2"/>
      <c r="J133" s="23"/>
      <c r="K133" s="2"/>
      <c r="L133" s="2"/>
      <c r="M133" s="117"/>
      <c r="N133" s="23"/>
      <c r="O133" s="2"/>
      <c r="P133" s="2"/>
      <c r="AH133" s="17"/>
      <c r="AI133" s="17"/>
      <c r="AJ133" s="17"/>
      <c r="AM133" s="17"/>
      <c r="AN133" s="40"/>
      <c r="AO133" s="17"/>
      <c r="AP133" s="17"/>
      <c r="AQ133" s="40"/>
      <c r="AR133" s="17"/>
    </row>
    <row r="134" spans="7:44" ht="12.75">
      <c r="G134" s="96"/>
      <c r="H134" s="23"/>
      <c r="I134" s="237"/>
      <c r="J134" s="96"/>
      <c r="K134" s="118"/>
      <c r="L134" s="238"/>
      <c r="M134" s="238"/>
      <c r="N134" s="96"/>
      <c r="O134" s="236"/>
      <c r="P134" s="96"/>
      <c r="AH134" s="17"/>
      <c r="AI134" s="17"/>
      <c r="AJ134" s="17"/>
      <c r="AM134" s="17"/>
      <c r="AN134" s="40"/>
      <c r="AO134" s="17"/>
      <c r="AP134" s="17"/>
      <c r="AQ134" s="40"/>
      <c r="AR134" s="17"/>
    </row>
    <row r="135" spans="7:44" ht="12.75">
      <c r="G135" s="96"/>
      <c r="H135" s="4"/>
      <c r="I135" s="237"/>
      <c r="J135" s="119"/>
      <c r="K135" s="119"/>
      <c r="L135" s="239"/>
      <c r="M135" s="239"/>
      <c r="N135" s="119"/>
      <c r="O135" s="236"/>
      <c r="P135" s="96"/>
      <c r="AH135" s="17"/>
      <c r="AI135" s="17"/>
      <c r="AJ135" s="17"/>
      <c r="AM135" s="37"/>
      <c r="AN135" s="41"/>
      <c r="AO135" s="37"/>
      <c r="AP135" s="37"/>
      <c r="AQ135" s="41"/>
      <c r="AR135" s="37"/>
    </row>
    <row r="136" spans="7:44" ht="12.75">
      <c r="G136" s="103"/>
      <c r="H136" s="4"/>
      <c r="I136" s="120"/>
      <c r="J136" s="121"/>
      <c r="K136" s="4"/>
      <c r="L136" s="122"/>
      <c r="M136" s="34"/>
      <c r="N136" s="225"/>
      <c r="O136" s="240"/>
      <c r="P136" s="103"/>
      <c r="AH136" s="17"/>
      <c r="AI136" s="17"/>
      <c r="AJ136" s="17"/>
      <c r="AM136" s="17"/>
      <c r="AN136" s="17"/>
      <c r="AO136" s="17"/>
      <c r="AP136" s="17"/>
      <c r="AQ136" s="17"/>
      <c r="AR136" s="17"/>
    </row>
    <row r="137" spans="7:44" ht="12.75">
      <c r="G137" s="103"/>
      <c r="H137" s="34"/>
      <c r="I137" s="123"/>
      <c r="J137" s="2"/>
      <c r="K137" s="4"/>
      <c r="L137" s="122"/>
      <c r="M137" s="34"/>
      <c r="N137" s="225"/>
      <c r="O137" s="240"/>
      <c r="P137" s="103"/>
      <c r="AH137" s="17"/>
      <c r="AI137" s="17"/>
      <c r="AJ137" s="17"/>
      <c r="AM137" s="37"/>
      <c r="AN137" s="37"/>
      <c r="AO137" s="37"/>
      <c r="AP137" s="37"/>
      <c r="AQ137" s="37"/>
      <c r="AR137" s="37"/>
    </row>
    <row r="138" spans="7:44" ht="12.75">
      <c r="G138" s="87"/>
      <c r="H138" s="82"/>
      <c r="I138" s="127"/>
      <c r="J138" s="124"/>
      <c r="K138" s="125"/>
      <c r="L138" s="126"/>
      <c r="M138" s="82"/>
      <c r="N138" s="82"/>
      <c r="O138" s="87"/>
      <c r="P138" s="87"/>
      <c r="AH138" s="17"/>
      <c r="AI138" s="17"/>
      <c r="AJ138" s="17"/>
      <c r="AM138" s="17"/>
      <c r="AN138" s="38"/>
      <c r="AO138" s="17"/>
      <c r="AP138" s="17"/>
      <c r="AQ138" s="38"/>
      <c r="AR138" s="17"/>
    </row>
    <row r="139" spans="7:44" ht="12.75">
      <c r="G139" s="23"/>
      <c r="H139" s="23"/>
      <c r="I139" s="23"/>
      <c r="J139" s="2"/>
      <c r="K139" s="2"/>
      <c r="L139" s="2"/>
      <c r="M139" s="2"/>
      <c r="N139" s="2"/>
      <c r="O139" s="23"/>
      <c r="P139" s="23"/>
      <c r="AH139" s="17"/>
      <c r="AI139" s="17"/>
      <c r="AJ139" s="17"/>
      <c r="AM139" s="17"/>
      <c r="AN139" s="39"/>
      <c r="AO139" s="17"/>
      <c r="AP139" s="17"/>
      <c r="AQ139" s="39"/>
      <c r="AR139" s="17"/>
    </row>
    <row r="140" spans="7:44" ht="12.75"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AH140" s="17"/>
      <c r="AI140" s="17"/>
      <c r="AJ140" s="17"/>
      <c r="AM140" s="17"/>
      <c r="AN140" s="44"/>
      <c r="AO140" s="17"/>
      <c r="AP140" s="17"/>
      <c r="AQ140" s="44"/>
      <c r="AR140" s="17"/>
    </row>
    <row r="141" spans="7:44" ht="12.75">
      <c r="G141" s="104"/>
      <c r="H141" s="48"/>
      <c r="I141" s="235"/>
      <c r="J141" s="235"/>
      <c r="K141" s="235"/>
      <c r="L141" s="235"/>
      <c r="M141" s="235"/>
      <c r="N141" s="235"/>
      <c r="O141" s="235"/>
      <c r="P141" s="105"/>
      <c r="AH141" s="17"/>
      <c r="AI141" s="17"/>
      <c r="AJ141" s="17"/>
      <c r="AM141" s="17"/>
      <c r="AN141" s="44"/>
      <c r="AO141" s="17"/>
      <c r="AP141" s="17"/>
      <c r="AQ141" s="44"/>
      <c r="AR141" s="17"/>
    </row>
    <row r="142" spans="7:44" ht="12.75">
      <c r="G142" s="49"/>
      <c r="H142" s="48"/>
      <c r="I142" s="91"/>
      <c r="J142" s="91"/>
      <c r="K142" s="49"/>
      <c r="L142" s="49"/>
      <c r="M142" s="49"/>
      <c r="N142" s="49"/>
      <c r="O142" s="49"/>
      <c r="P142" s="49"/>
      <c r="AH142" s="17"/>
      <c r="AI142" s="17"/>
      <c r="AJ142" s="17"/>
      <c r="AM142" s="37"/>
      <c r="AN142" s="45"/>
      <c r="AO142" s="37"/>
      <c r="AP142" s="37"/>
      <c r="AQ142" s="45"/>
      <c r="AR142" s="37"/>
    </row>
    <row r="143" spans="7:44" ht="12.75">
      <c r="G143" s="49"/>
      <c r="H143" s="49"/>
      <c r="I143" s="50"/>
      <c r="J143" s="106"/>
      <c r="K143" s="49"/>
      <c r="L143" s="49"/>
      <c r="M143" s="49"/>
      <c r="N143" s="49"/>
      <c r="O143" s="49"/>
      <c r="P143" s="49"/>
      <c r="AH143" s="17"/>
      <c r="AI143" s="17"/>
      <c r="AJ143" s="17"/>
      <c r="AM143" s="17"/>
      <c r="AN143" s="17"/>
      <c r="AO143" s="17"/>
      <c r="AP143" s="17"/>
      <c r="AQ143" s="17"/>
      <c r="AR143" s="17"/>
    </row>
    <row r="144" spans="7:44" ht="12.75">
      <c r="G144" s="49"/>
      <c r="H144" s="49"/>
      <c r="I144" s="50"/>
      <c r="J144" s="106"/>
      <c r="K144" s="49"/>
      <c r="L144" s="49"/>
      <c r="M144" s="49"/>
      <c r="N144" s="49"/>
      <c r="O144" s="49"/>
      <c r="P144" s="49"/>
      <c r="AH144" s="17"/>
      <c r="AI144" s="17"/>
      <c r="AJ144" s="17"/>
      <c r="AM144" s="37"/>
      <c r="AN144" s="37"/>
      <c r="AO144" s="37"/>
      <c r="AP144" s="37"/>
      <c r="AQ144" s="37"/>
      <c r="AR144" s="37"/>
    </row>
    <row r="145" spans="7:44" ht="12.75">
      <c r="G145" s="49"/>
      <c r="H145" s="49"/>
      <c r="I145" s="107"/>
      <c r="J145" s="106"/>
      <c r="K145" s="49"/>
      <c r="L145" s="107"/>
      <c r="M145" s="49"/>
      <c r="N145" s="106"/>
      <c r="O145" s="49"/>
      <c r="P145" s="49"/>
      <c r="AH145" s="17"/>
      <c r="AI145" s="17"/>
      <c r="AJ145" s="17"/>
      <c r="AM145" s="17"/>
      <c r="AN145" s="38"/>
      <c r="AO145" s="17"/>
      <c r="AP145" s="17"/>
      <c r="AQ145" s="38"/>
      <c r="AR145" s="17"/>
    </row>
    <row r="146" spans="7:44" ht="12.75">
      <c r="G146" s="49"/>
      <c r="H146" s="49"/>
      <c r="I146" s="107"/>
      <c r="J146" s="106"/>
      <c r="K146" s="49"/>
      <c r="L146" s="49"/>
      <c r="M146" s="49"/>
      <c r="N146" s="106"/>
      <c r="O146" s="49"/>
      <c r="P146" s="49"/>
      <c r="AH146" s="17"/>
      <c r="AI146" s="17"/>
      <c r="AJ146" s="17"/>
      <c r="AM146" s="17"/>
      <c r="AN146" s="39"/>
      <c r="AO146" s="17"/>
      <c r="AP146" s="17"/>
      <c r="AQ146" s="39"/>
      <c r="AR146" s="17"/>
    </row>
    <row r="147" spans="7:44" ht="12.75"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AH147" s="17"/>
      <c r="AI147" s="17"/>
      <c r="AJ147" s="17"/>
      <c r="AM147" s="17"/>
      <c r="AN147" s="44"/>
      <c r="AO147" s="17"/>
      <c r="AP147" s="17"/>
      <c r="AQ147" s="44"/>
      <c r="AR147" s="17"/>
    </row>
    <row r="148" spans="1:44" ht="12.75">
      <c r="A148" s="234"/>
      <c r="B148" s="234"/>
      <c r="C148" s="234"/>
      <c r="D148" s="234"/>
      <c r="E148" s="234"/>
      <c r="F148" s="234"/>
      <c r="G148" s="234"/>
      <c r="H148" s="49"/>
      <c r="I148" s="234"/>
      <c r="J148" s="234"/>
      <c r="K148" s="234"/>
      <c r="L148" s="234"/>
      <c r="M148" s="234"/>
      <c r="N148" s="234"/>
      <c r="O148" s="234"/>
      <c r="P148" s="108"/>
      <c r="AH148" s="17"/>
      <c r="AI148" s="17"/>
      <c r="AJ148" s="17"/>
      <c r="AM148" s="17"/>
      <c r="AN148" s="44"/>
      <c r="AO148" s="17"/>
      <c r="AP148" s="17"/>
      <c r="AQ148" s="44"/>
      <c r="AR148" s="17"/>
    </row>
    <row r="149" spans="1:44" ht="12.75">
      <c r="A149" s="234"/>
      <c r="B149" s="234"/>
      <c r="C149" s="234"/>
      <c r="D149" s="234"/>
      <c r="E149" s="234"/>
      <c r="F149" s="234"/>
      <c r="G149" s="234"/>
      <c r="H149" s="49"/>
      <c r="I149" s="234"/>
      <c r="J149" s="234"/>
      <c r="K149" s="234"/>
      <c r="L149" s="234"/>
      <c r="M149" s="234"/>
      <c r="N149" s="234"/>
      <c r="O149" s="234"/>
      <c r="P149" s="108"/>
      <c r="AH149" s="17"/>
      <c r="AI149" s="17"/>
      <c r="AJ149" s="17"/>
      <c r="AM149" s="37"/>
      <c r="AN149" s="45"/>
      <c r="AO149" s="37"/>
      <c r="AP149" s="37"/>
      <c r="AQ149" s="45"/>
      <c r="AR149" s="37"/>
    </row>
    <row r="150" spans="1:44" ht="12.75">
      <c r="A150" s="108"/>
      <c r="B150" s="90"/>
      <c r="C150" s="23"/>
      <c r="D150" s="109"/>
      <c r="E150" s="214"/>
      <c r="F150" s="23"/>
      <c r="G150" s="108"/>
      <c r="H150" s="49"/>
      <c r="I150" s="108"/>
      <c r="J150" s="2"/>
      <c r="K150" s="49"/>
      <c r="L150" s="110"/>
      <c r="M150" s="111"/>
      <c r="N150" s="2"/>
      <c r="O150" s="108"/>
      <c r="P150" s="108"/>
      <c r="AH150" s="17"/>
      <c r="AI150" s="17"/>
      <c r="AJ150" s="17"/>
      <c r="AM150" s="17"/>
      <c r="AN150" s="17"/>
      <c r="AO150" s="17"/>
      <c r="AP150" s="17"/>
      <c r="AQ150" s="17"/>
      <c r="AR150" s="17"/>
    </row>
    <row r="151" spans="1:44" ht="12.75">
      <c r="A151" s="49"/>
      <c r="B151" s="197"/>
      <c r="C151" s="15"/>
      <c r="D151" s="15"/>
      <c r="E151" s="197"/>
      <c r="F151" s="15"/>
      <c r="G151" s="49"/>
      <c r="H151" s="49"/>
      <c r="I151" s="49"/>
      <c r="J151" s="15"/>
      <c r="K151" s="15"/>
      <c r="L151" s="15"/>
      <c r="M151" s="15"/>
      <c r="N151" s="15"/>
      <c r="O151" s="49"/>
      <c r="P151" s="49"/>
      <c r="AH151" s="17"/>
      <c r="AI151" s="17"/>
      <c r="AJ151" s="17"/>
      <c r="AM151" s="37"/>
      <c r="AN151" s="37"/>
      <c r="AO151" s="37"/>
      <c r="AP151" s="37"/>
      <c r="AQ151" s="37"/>
      <c r="AR151" s="37"/>
    </row>
    <row r="152" spans="1:44" ht="12.75">
      <c r="A152" s="49"/>
      <c r="B152" s="107"/>
      <c r="C152" s="49"/>
      <c r="D152" s="49"/>
      <c r="E152" s="107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AH152" s="17"/>
      <c r="AI152" s="17"/>
      <c r="AJ152" s="17"/>
      <c r="AM152" s="17"/>
      <c r="AN152" s="38"/>
      <c r="AO152" s="17"/>
      <c r="AP152" s="17"/>
      <c r="AQ152" s="38"/>
      <c r="AR152" s="17"/>
    </row>
    <row r="153" spans="1:44" ht="12.75">
      <c r="A153" s="235"/>
      <c r="B153" s="235"/>
      <c r="C153" s="235"/>
      <c r="D153" s="235"/>
      <c r="E153" s="235"/>
      <c r="F153" s="235"/>
      <c r="G153" s="235"/>
      <c r="H153" s="49"/>
      <c r="I153" s="235"/>
      <c r="J153" s="235"/>
      <c r="K153" s="235"/>
      <c r="L153" s="235"/>
      <c r="M153" s="235"/>
      <c r="N153" s="235"/>
      <c r="O153" s="235"/>
      <c r="P153" s="105"/>
      <c r="AH153" s="17"/>
      <c r="AI153" s="17"/>
      <c r="AJ153" s="17"/>
      <c r="AM153" s="46"/>
      <c r="AN153" s="44"/>
      <c r="AO153" s="17"/>
      <c r="AP153" s="17"/>
      <c r="AQ153" s="44"/>
      <c r="AR153" s="17"/>
    </row>
    <row r="154" spans="1:44" ht="12.75">
      <c r="A154" s="128"/>
      <c r="B154" s="198"/>
      <c r="C154" s="49"/>
      <c r="D154" s="49"/>
      <c r="E154" s="107"/>
      <c r="F154" s="49"/>
      <c r="G154" s="49"/>
      <c r="H154" s="50"/>
      <c r="I154" s="128"/>
      <c r="J154" s="91"/>
      <c r="K154" s="49"/>
      <c r="L154" s="49"/>
      <c r="M154" s="49"/>
      <c r="N154" s="49"/>
      <c r="O154" s="49"/>
      <c r="P154" s="49"/>
      <c r="AH154" s="17"/>
      <c r="AI154" s="17"/>
      <c r="AJ154" s="17"/>
      <c r="AM154" s="17"/>
      <c r="AN154" s="17"/>
      <c r="AO154" s="17"/>
      <c r="AP154" s="17"/>
      <c r="AQ154" s="17"/>
      <c r="AR154" s="17"/>
    </row>
    <row r="155" spans="1:44" ht="12.75">
      <c r="A155" s="50"/>
      <c r="B155" s="107"/>
      <c r="C155" s="112"/>
      <c r="D155" s="112"/>
      <c r="E155" s="107"/>
      <c r="F155" s="112"/>
      <c r="G155" s="49"/>
      <c r="H155" s="50"/>
      <c r="I155" s="50"/>
      <c r="J155" s="50"/>
      <c r="K155" s="112"/>
      <c r="L155" s="112"/>
      <c r="M155" s="112"/>
      <c r="N155" s="112"/>
      <c r="O155" s="49"/>
      <c r="P155" s="49"/>
      <c r="AH155" s="17"/>
      <c r="AI155" s="17"/>
      <c r="AJ155" s="17"/>
      <c r="AM155" s="37"/>
      <c r="AN155" s="37"/>
      <c r="AO155" s="37"/>
      <c r="AP155" s="37"/>
      <c r="AQ155" s="37"/>
      <c r="AR155" s="37"/>
    </row>
    <row r="156" spans="1:44" ht="12.75">
      <c r="A156" s="50"/>
      <c r="B156" s="113"/>
      <c r="C156" s="91"/>
      <c r="D156" s="49"/>
      <c r="E156" s="107"/>
      <c r="F156" s="49"/>
      <c r="G156" s="49"/>
      <c r="H156" s="50"/>
      <c r="I156" s="50"/>
      <c r="J156" s="113"/>
      <c r="K156" s="91"/>
      <c r="L156" s="49"/>
      <c r="M156" s="49"/>
      <c r="N156" s="49"/>
      <c r="O156" s="49"/>
      <c r="P156" s="49"/>
      <c r="AH156" s="17"/>
      <c r="AI156" s="17"/>
      <c r="AJ156" s="17"/>
      <c r="AM156" s="17"/>
      <c r="AN156" s="38"/>
      <c r="AO156" s="17"/>
      <c r="AP156" s="17"/>
      <c r="AQ156" s="38"/>
      <c r="AR156" s="17"/>
    </row>
    <row r="157" spans="1:44" ht="12.75">
      <c r="A157" s="107"/>
      <c r="B157" s="113"/>
      <c r="C157" s="49"/>
      <c r="D157" s="107"/>
      <c r="E157" s="107"/>
      <c r="F157" s="106"/>
      <c r="G157" s="49"/>
      <c r="H157" s="50"/>
      <c r="I157" s="107"/>
      <c r="J157" s="106"/>
      <c r="K157" s="49"/>
      <c r="L157" s="107"/>
      <c r="M157" s="49"/>
      <c r="N157" s="106"/>
      <c r="O157" s="49"/>
      <c r="P157" s="49"/>
      <c r="AH157" s="17"/>
      <c r="AI157" s="17"/>
      <c r="AJ157" s="17"/>
      <c r="AM157" s="46"/>
      <c r="AN157" s="44"/>
      <c r="AO157" s="17"/>
      <c r="AP157" s="17"/>
      <c r="AQ157" s="44"/>
      <c r="AR157" s="17"/>
    </row>
    <row r="158" spans="1:44" ht="12.75">
      <c r="A158" s="107"/>
      <c r="B158" s="113"/>
      <c r="C158" s="49"/>
      <c r="D158" s="49"/>
      <c r="E158" s="107"/>
      <c r="F158" s="106"/>
      <c r="G158" s="49"/>
      <c r="H158" s="48"/>
      <c r="I158" s="107"/>
      <c r="J158" s="106"/>
      <c r="K158" s="49"/>
      <c r="L158" s="49"/>
      <c r="M158" s="49"/>
      <c r="N158" s="106"/>
      <c r="O158" s="49"/>
      <c r="P158" s="49"/>
      <c r="AH158" s="17"/>
      <c r="AI158" s="17"/>
      <c r="AJ158" s="17"/>
      <c r="AM158" s="17"/>
      <c r="AN158" s="17"/>
      <c r="AO158" s="17"/>
      <c r="AP158" s="17"/>
      <c r="AQ158" s="17"/>
      <c r="AR158" s="17"/>
    </row>
    <row r="159" spans="1:44" ht="12.75">
      <c r="A159" s="49"/>
      <c r="B159" s="107"/>
      <c r="C159" s="49"/>
      <c r="D159" s="49"/>
      <c r="E159" s="107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AH159" s="17"/>
      <c r="AI159" s="17"/>
      <c r="AJ159" s="17"/>
      <c r="AM159" s="17"/>
      <c r="AN159" s="17"/>
      <c r="AO159" s="17"/>
      <c r="AP159" s="37"/>
      <c r="AQ159" s="37"/>
      <c r="AR159" s="37"/>
    </row>
    <row r="160" spans="1:44" ht="12.75">
      <c r="A160" s="234"/>
      <c r="B160" s="234"/>
      <c r="C160" s="234"/>
      <c r="D160" s="234"/>
      <c r="E160" s="234"/>
      <c r="F160" s="234"/>
      <c r="G160" s="234"/>
      <c r="H160" s="49"/>
      <c r="I160" s="234"/>
      <c r="J160" s="234"/>
      <c r="K160" s="234"/>
      <c r="L160" s="234"/>
      <c r="M160" s="234"/>
      <c r="N160" s="234"/>
      <c r="O160" s="234"/>
      <c r="P160" s="108"/>
      <c r="AH160" s="17"/>
      <c r="AI160" s="17"/>
      <c r="AJ160" s="17"/>
      <c r="AM160" s="17"/>
      <c r="AN160" s="17"/>
      <c r="AO160" s="17"/>
      <c r="AP160" s="17"/>
      <c r="AQ160" s="38"/>
      <c r="AR160" s="17"/>
    </row>
    <row r="161" spans="1:44" ht="12.75">
      <c r="A161" s="234"/>
      <c r="B161" s="234"/>
      <c r="C161" s="234"/>
      <c r="D161" s="234"/>
      <c r="E161" s="234"/>
      <c r="F161" s="234"/>
      <c r="G161" s="234"/>
      <c r="H161" s="49"/>
      <c r="I161" s="234"/>
      <c r="J161" s="234"/>
      <c r="K161" s="234"/>
      <c r="L161" s="234"/>
      <c r="M161" s="234"/>
      <c r="N161" s="234"/>
      <c r="O161" s="234"/>
      <c r="P161" s="108"/>
      <c r="AH161" s="17"/>
      <c r="AI161" s="17"/>
      <c r="AJ161" s="17"/>
      <c r="AM161" s="17"/>
      <c r="AN161" s="17"/>
      <c r="AO161" s="17"/>
      <c r="AP161" s="17"/>
      <c r="AQ161" s="44"/>
      <c r="AR161" s="17"/>
    </row>
    <row r="162" spans="1:44" ht="12.75">
      <c r="A162" s="108"/>
      <c r="B162" s="90"/>
      <c r="C162" s="49"/>
      <c r="D162" s="110"/>
      <c r="E162" s="215"/>
      <c r="F162" s="2"/>
      <c r="G162" s="108"/>
      <c r="H162" s="49"/>
      <c r="I162" s="108"/>
      <c r="J162" s="2"/>
      <c r="K162" s="49"/>
      <c r="L162" s="110"/>
      <c r="M162" s="111"/>
      <c r="N162" s="2"/>
      <c r="O162" s="108"/>
      <c r="P162" s="108"/>
      <c r="AH162" s="17"/>
      <c r="AI162" s="17"/>
      <c r="AJ162" s="17"/>
      <c r="AM162" s="17"/>
      <c r="AN162" s="17"/>
      <c r="AO162" s="17"/>
      <c r="AP162" s="17"/>
      <c r="AQ162" s="38"/>
      <c r="AR162" s="17"/>
    </row>
    <row r="163" spans="1:44" ht="12.75">
      <c r="A163" s="49"/>
      <c r="B163" s="107"/>
      <c r="C163" s="49"/>
      <c r="D163" s="49"/>
      <c r="E163" s="107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AH163" s="17"/>
      <c r="AI163" s="17"/>
      <c r="AJ163" s="17"/>
      <c r="AM163" s="17"/>
      <c r="AN163" s="17"/>
      <c r="AO163" s="17"/>
      <c r="AP163" s="17"/>
      <c r="AQ163" s="44"/>
      <c r="AR163" s="17"/>
    </row>
    <row r="164" spans="1:44" ht="12.75">
      <c r="A164" s="49"/>
      <c r="B164" s="107"/>
      <c r="C164" s="49"/>
      <c r="D164" s="49"/>
      <c r="E164" s="107"/>
      <c r="F164" s="49"/>
      <c r="G164" s="49"/>
      <c r="H164" s="48"/>
      <c r="I164" s="49"/>
      <c r="J164" s="49"/>
      <c r="K164" s="49"/>
      <c r="L164" s="49"/>
      <c r="M164" s="49"/>
      <c r="N164" s="49"/>
      <c r="O164" s="49"/>
      <c r="P164" s="49"/>
      <c r="AH164" s="17"/>
      <c r="AI164" s="17"/>
      <c r="AJ164" s="17"/>
      <c r="AM164" s="17"/>
      <c r="AN164" s="17"/>
      <c r="AO164" s="17"/>
      <c r="AP164" s="17"/>
      <c r="AQ164" s="17"/>
      <c r="AR164" s="17"/>
    </row>
    <row r="165" spans="1:44" ht="12.75">
      <c r="A165" s="15"/>
      <c r="B165" s="197"/>
      <c r="C165" s="15"/>
      <c r="D165" s="15"/>
      <c r="E165" s="197"/>
      <c r="F165" s="15"/>
      <c r="G165" s="15"/>
      <c r="H165" s="15"/>
      <c r="I165" s="248"/>
      <c r="J165" s="248"/>
      <c r="K165" s="248"/>
      <c r="L165" s="248"/>
      <c r="M165" s="248"/>
      <c r="N165" s="248"/>
      <c r="O165" s="248"/>
      <c r="P165" s="115"/>
      <c r="AH165" s="17"/>
      <c r="AI165" s="17"/>
      <c r="AJ165" s="17"/>
      <c r="AM165" s="37"/>
      <c r="AN165" s="37"/>
      <c r="AO165" s="37"/>
      <c r="AP165" s="37"/>
      <c r="AQ165" s="37"/>
      <c r="AR165" s="37"/>
    </row>
    <row r="166" spans="1:44" ht="12.75">
      <c r="A166" s="15"/>
      <c r="B166" s="197"/>
      <c r="C166" s="15"/>
      <c r="D166" s="15"/>
      <c r="E166" s="197"/>
      <c r="F166" s="15"/>
      <c r="G166" s="15"/>
      <c r="H166" s="15"/>
      <c r="I166" s="88"/>
      <c r="J166" s="49"/>
      <c r="K166" s="49"/>
      <c r="L166" s="49"/>
      <c r="M166" s="49"/>
      <c r="N166" s="49"/>
      <c r="O166" s="49"/>
      <c r="P166" s="49"/>
      <c r="Q166" s="15"/>
      <c r="AH166" s="17"/>
      <c r="AI166" s="17"/>
      <c r="AJ166" s="17"/>
      <c r="AM166" s="17"/>
      <c r="AN166" s="38"/>
      <c r="AO166" s="17"/>
      <c r="AP166" s="17"/>
      <c r="AQ166" s="38"/>
      <c r="AR166" s="17"/>
    </row>
    <row r="167" spans="1:44" ht="12.75">
      <c r="A167" s="15"/>
      <c r="B167" s="197"/>
      <c r="C167" s="15"/>
      <c r="D167" s="15"/>
      <c r="E167" s="197"/>
      <c r="F167" s="15"/>
      <c r="G167" s="15"/>
      <c r="H167" s="15"/>
      <c r="I167" s="88"/>
      <c r="J167" s="49"/>
      <c r="K167" s="49"/>
      <c r="L167" s="49"/>
      <c r="M167" s="49"/>
      <c r="N167" s="49"/>
      <c r="O167" s="49"/>
      <c r="P167" s="49"/>
      <c r="AH167" s="17"/>
      <c r="AI167" s="17"/>
      <c r="AJ167" s="17"/>
      <c r="AM167" s="17"/>
      <c r="AN167" s="45"/>
      <c r="AO167" s="37"/>
      <c r="AP167" s="17"/>
      <c r="AQ167" s="45"/>
      <c r="AR167" s="37"/>
    </row>
    <row r="168" spans="1:36" ht="12.75">
      <c r="A168" s="15"/>
      <c r="B168" s="197"/>
      <c r="C168" s="15"/>
      <c r="D168" s="15"/>
      <c r="E168" s="197"/>
      <c r="F168" s="15"/>
      <c r="G168" s="15"/>
      <c r="H168" s="15"/>
      <c r="I168" s="88"/>
      <c r="J168" s="49"/>
      <c r="K168" s="91"/>
      <c r="L168" s="49"/>
      <c r="M168" s="49"/>
      <c r="N168" s="49"/>
      <c r="O168" s="49"/>
      <c r="P168" s="49"/>
      <c r="AH168" s="17"/>
      <c r="AI168" s="17"/>
      <c r="AJ168" s="17"/>
    </row>
    <row r="169" spans="1:36" ht="12.75">
      <c r="A169" s="15"/>
      <c r="B169" s="197"/>
      <c r="C169" s="15"/>
      <c r="D169" s="15"/>
      <c r="E169" s="197"/>
      <c r="F169" s="15"/>
      <c r="G169" s="15"/>
      <c r="H169" s="15"/>
      <c r="I169" s="88"/>
      <c r="J169" s="93"/>
      <c r="K169" s="2"/>
      <c r="L169" s="90"/>
      <c r="M169" s="2"/>
      <c r="N169" s="93"/>
      <c r="O169" s="2"/>
      <c r="P169" s="2"/>
      <c r="AH169" s="17"/>
      <c r="AI169" s="17"/>
      <c r="AJ169" s="17"/>
    </row>
    <row r="170" spans="1:36" ht="12.75">
      <c r="A170" s="15"/>
      <c r="B170" s="197"/>
      <c r="C170" s="15"/>
      <c r="D170" s="15"/>
      <c r="E170" s="197"/>
      <c r="F170" s="15"/>
      <c r="G170" s="15"/>
      <c r="H170" s="15"/>
      <c r="I170" s="90"/>
      <c r="J170" s="93"/>
      <c r="K170" s="2"/>
      <c r="L170" s="90"/>
      <c r="M170" s="2"/>
      <c r="N170" s="93"/>
      <c r="O170" s="2"/>
      <c r="P170" s="2"/>
      <c r="AH170" s="17"/>
      <c r="AI170" s="17"/>
      <c r="AJ170" s="17"/>
    </row>
    <row r="171" spans="1:36" ht="12.75">
      <c r="A171" s="15"/>
      <c r="B171" s="197"/>
      <c r="C171" s="15"/>
      <c r="D171" s="15"/>
      <c r="E171" s="197"/>
      <c r="F171" s="15"/>
      <c r="G171" s="15"/>
      <c r="H171" s="15"/>
      <c r="I171" s="49"/>
      <c r="J171" s="49"/>
      <c r="K171" s="49"/>
      <c r="L171" s="49"/>
      <c r="M171" s="49"/>
      <c r="N171" s="49"/>
      <c r="O171" s="49"/>
      <c r="P171" s="49"/>
      <c r="AH171" s="17"/>
      <c r="AI171" s="17"/>
      <c r="AJ171" s="17"/>
    </row>
    <row r="172" spans="1:36" ht="12.75">
      <c r="A172" s="15"/>
      <c r="B172" s="197"/>
      <c r="C172" s="15"/>
      <c r="D172" s="15"/>
      <c r="E172" s="197"/>
      <c r="F172" s="15"/>
      <c r="G172" s="15"/>
      <c r="H172" s="15"/>
      <c r="I172" s="236"/>
      <c r="J172" s="236"/>
      <c r="K172" s="236"/>
      <c r="L172" s="236"/>
      <c r="M172" s="236"/>
      <c r="N172" s="236"/>
      <c r="O172" s="236"/>
      <c r="P172" s="96"/>
      <c r="AH172" s="17"/>
      <c r="AI172" s="17"/>
      <c r="AJ172" s="17"/>
    </row>
    <row r="173" spans="1:36" ht="12.75">
      <c r="A173" s="15"/>
      <c r="B173" s="197"/>
      <c r="C173" s="15"/>
      <c r="D173" s="15"/>
      <c r="E173" s="197"/>
      <c r="F173" s="15"/>
      <c r="G173" s="15"/>
      <c r="H173" s="88"/>
      <c r="I173" s="236"/>
      <c r="J173" s="236"/>
      <c r="K173" s="236"/>
      <c r="L173" s="236"/>
      <c r="M173" s="236"/>
      <c r="N173" s="236"/>
      <c r="O173" s="236"/>
      <c r="P173" s="96"/>
      <c r="AH173" s="17"/>
      <c r="AI173" s="17"/>
      <c r="AJ173" s="17"/>
    </row>
    <row r="174" spans="1:36" ht="12.75">
      <c r="A174" s="15"/>
      <c r="B174" s="197"/>
      <c r="C174" s="15"/>
      <c r="D174" s="15"/>
      <c r="E174" s="197"/>
      <c r="F174" s="15"/>
      <c r="G174" s="15"/>
      <c r="H174" s="88"/>
      <c r="I174" s="96"/>
      <c r="J174" s="2"/>
      <c r="K174" s="49"/>
      <c r="L174" s="110"/>
      <c r="M174" s="111"/>
      <c r="N174" s="2"/>
      <c r="O174" s="96"/>
      <c r="P174" s="96"/>
      <c r="AH174" s="17"/>
      <c r="AI174" s="17"/>
      <c r="AJ174" s="17"/>
    </row>
    <row r="175" spans="1:36" ht="12.75">
      <c r="A175" s="15"/>
      <c r="B175" s="197"/>
      <c r="C175" s="15"/>
      <c r="D175" s="15"/>
      <c r="E175" s="197"/>
      <c r="F175" s="15"/>
      <c r="G175" s="15"/>
      <c r="H175" s="88"/>
      <c r="I175" s="129"/>
      <c r="J175" s="2"/>
      <c r="K175" s="2"/>
      <c r="L175" s="2"/>
      <c r="M175" s="2"/>
      <c r="N175" s="2"/>
      <c r="O175" s="49"/>
      <c r="P175" s="49"/>
      <c r="AH175" s="17"/>
      <c r="AI175" s="17"/>
      <c r="AJ175" s="17"/>
    </row>
    <row r="176" spans="1:36" ht="12.75">
      <c r="A176" s="15"/>
      <c r="B176" s="197"/>
      <c r="C176" s="15"/>
      <c r="D176" s="15"/>
      <c r="E176" s="197"/>
      <c r="F176" s="15"/>
      <c r="G176" s="15"/>
      <c r="H176" s="88"/>
      <c r="I176" s="2"/>
      <c r="J176" s="2"/>
      <c r="K176" s="2"/>
      <c r="L176" s="2"/>
      <c r="M176" s="2"/>
      <c r="N176" s="2"/>
      <c r="O176" s="2"/>
      <c r="P176" s="2"/>
      <c r="AH176" s="17"/>
      <c r="AI176" s="17"/>
      <c r="AJ176" s="17"/>
    </row>
    <row r="177" spans="1:36" ht="12.75">
      <c r="A177" s="15"/>
      <c r="B177" s="197"/>
      <c r="C177" s="15"/>
      <c r="D177" s="15"/>
      <c r="E177" s="197"/>
      <c r="F177" s="15"/>
      <c r="G177" s="15"/>
      <c r="H177" s="15"/>
      <c r="I177" s="248"/>
      <c r="J177" s="248"/>
      <c r="K177" s="248"/>
      <c r="L177" s="248"/>
      <c r="M177" s="248"/>
      <c r="N177" s="248"/>
      <c r="O177" s="248"/>
      <c r="P177" s="115"/>
      <c r="AH177" s="17"/>
      <c r="AI177" s="17"/>
      <c r="AJ177" s="17"/>
    </row>
    <row r="178" spans="1:36" ht="12.75">
      <c r="A178" s="15"/>
      <c r="B178" s="197"/>
      <c r="C178" s="15"/>
      <c r="D178" s="15"/>
      <c r="E178" s="197"/>
      <c r="F178" s="15"/>
      <c r="G178" s="15"/>
      <c r="H178" s="42"/>
      <c r="I178" s="2"/>
      <c r="J178" s="2"/>
      <c r="K178" s="2"/>
      <c r="L178" s="2"/>
      <c r="M178" s="2"/>
      <c r="N178" s="2"/>
      <c r="O178" s="2"/>
      <c r="P178" s="2"/>
      <c r="AH178" s="17"/>
      <c r="AI178" s="17"/>
      <c r="AJ178" s="17"/>
    </row>
    <row r="179" spans="1:36" ht="12.75">
      <c r="A179" s="15"/>
      <c r="B179" s="197"/>
      <c r="C179" s="15"/>
      <c r="D179" s="15"/>
      <c r="E179" s="197"/>
      <c r="F179" s="15"/>
      <c r="G179" s="15"/>
      <c r="H179" s="42"/>
      <c r="I179" s="2"/>
      <c r="J179" s="2"/>
      <c r="K179" s="2"/>
      <c r="L179" s="2"/>
      <c r="M179" s="2"/>
      <c r="N179" s="2"/>
      <c r="O179" s="2"/>
      <c r="P179" s="2"/>
      <c r="AH179" s="17"/>
      <c r="AI179" s="17"/>
      <c r="AJ179" s="17"/>
    </row>
    <row r="180" spans="1:36" ht="12.75">
      <c r="A180" s="15"/>
      <c r="B180" s="197"/>
      <c r="C180" s="15"/>
      <c r="D180" s="15"/>
      <c r="E180" s="197"/>
      <c r="F180" s="15"/>
      <c r="G180" s="15"/>
      <c r="H180" s="42"/>
      <c r="I180" s="2"/>
      <c r="J180" s="93"/>
      <c r="K180" s="91"/>
      <c r="L180" s="2"/>
      <c r="M180" s="2"/>
      <c r="N180" s="2"/>
      <c r="O180" s="2"/>
      <c r="P180" s="2"/>
      <c r="AH180" s="17"/>
      <c r="AI180" s="17"/>
      <c r="AJ180" s="17"/>
    </row>
    <row r="181" spans="1:36" ht="12.75">
      <c r="A181" s="15"/>
      <c r="B181" s="197"/>
      <c r="C181" s="15"/>
      <c r="D181" s="15"/>
      <c r="E181" s="197"/>
      <c r="F181" s="15"/>
      <c r="G181" s="15"/>
      <c r="H181" s="43"/>
      <c r="I181" s="2"/>
      <c r="J181" s="93"/>
      <c r="K181" s="2"/>
      <c r="L181" s="90"/>
      <c r="M181" s="2"/>
      <c r="N181" s="93"/>
      <c r="O181" s="2"/>
      <c r="P181" s="2"/>
      <c r="AH181" s="17"/>
      <c r="AI181" s="17"/>
      <c r="AJ181" s="17"/>
    </row>
    <row r="182" spans="1:16" ht="12.75">
      <c r="A182" s="15"/>
      <c r="B182" s="197"/>
      <c r="C182" s="15"/>
      <c r="D182" s="15"/>
      <c r="E182" s="197"/>
      <c r="F182" s="15"/>
      <c r="G182" s="15"/>
      <c r="H182" s="12"/>
      <c r="I182" s="2"/>
      <c r="J182" s="93"/>
      <c r="K182" s="2"/>
      <c r="L182" s="2"/>
      <c r="M182" s="2"/>
      <c r="N182" s="93"/>
      <c r="O182" s="2"/>
      <c r="P182" s="2"/>
    </row>
    <row r="183" spans="1:16" ht="12.75">
      <c r="A183" s="15"/>
      <c r="B183" s="197"/>
      <c r="C183" s="15"/>
      <c r="D183" s="15"/>
      <c r="E183" s="197"/>
      <c r="F183" s="15"/>
      <c r="G183" s="15"/>
      <c r="H183" s="15"/>
      <c r="I183" s="49"/>
      <c r="J183" s="49"/>
      <c r="K183" s="49"/>
      <c r="L183" s="49"/>
      <c r="M183" s="49"/>
      <c r="N183" s="49"/>
      <c r="O183" s="49"/>
      <c r="P183" s="49"/>
    </row>
    <row r="184" spans="1:16" ht="12.75">
      <c r="A184" s="15"/>
      <c r="B184" s="197"/>
      <c r="C184" s="15"/>
      <c r="D184" s="15"/>
      <c r="E184" s="197"/>
      <c r="F184" s="15"/>
      <c r="G184" s="15"/>
      <c r="H184" s="15"/>
      <c r="I184" s="236"/>
      <c r="J184" s="236"/>
      <c r="K184" s="236"/>
      <c r="L184" s="236"/>
      <c r="M184" s="236"/>
      <c r="N184" s="236"/>
      <c r="O184" s="236"/>
      <c r="P184" s="96"/>
    </row>
    <row r="185" spans="1:16" ht="12.75">
      <c r="A185" s="15"/>
      <c r="B185" s="197"/>
      <c r="C185" s="15"/>
      <c r="D185" s="15"/>
      <c r="E185" s="197"/>
      <c r="F185" s="15"/>
      <c r="G185" s="15"/>
      <c r="H185" s="15"/>
      <c r="I185" s="236"/>
      <c r="J185" s="236"/>
      <c r="K185" s="236"/>
      <c r="L185" s="236"/>
      <c r="M185" s="236"/>
      <c r="N185" s="236"/>
      <c r="O185" s="236"/>
      <c r="P185" s="96"/>
    </row>
    <row r="186" spans="1:16" ht="12.75">
      <c r="A186" s="15"/>
      <c r="B186" s="197"/>
      <c r="C186" s="15"/>
      <c r="D186" s="15"/>
      <c r="E186" s="197"/>
      <c r="F186" s="15"/>
      <c r="G186" s="15"/>
      <c r="H186" s="15"/>
      <c r="I186" s="49"/>
      <c r="J186" s="2"/>
      <c r="K186" s="49"/>
      <c r="L186" s="110"/>
      <c r="M186" s="111"/>
      <c r="N186" s="2"/>
      <c r="O186" s="49"/>
      <c r="P186" s="49"/>
    </row>
    <row r="187" spans="1:16" ht="12.75">
      <c r="A187" s="15"/>
      <c r="B187" s="197"/>
      <c r="C187" s="15"/>
      <c r="D187" s="15"/>
      <c r="E187" s="197"/>
      <c r="F187" s="15"/>
      <c r="G187" s="15"/>
      <c r="H187" s="15"/>
      <c r="I187" s="49"/>
      <c r="J187" s="2"/>
      <c r="K187" s="49"/>
      <c r="L187" s="110"/>
      <c r="M187" s="111"/>
      <c r="N187" s="49"/>
      <c r="O187" s="49"/>
      <c r="P187" s="49"/>
    </row>
    <row r="188" spans="1:16" ht="12.75">
      <c r="A188" s="237"/>
      <c r="B188" s="199"/>
      <c r="C188" s="118"/>
      <c r="D188" s="238"/>
      <c r="E188" s="238"/>
      <c r="F188" s="96"/>
      <c r="G188" s="236"/>
      <c r="H188" s="15"/>
      <c r="I188" s="237"/>
      <c r="J188" s="96"/>
      <c r="K188" s="118"/>
      <c r="L188" s="238"/>
      <c r="M188" s="238"/>
      <c r="N188" s="96"/>
      <c r="O188" s="236"/>
      <c r="P188" s="96"/>
    </row>
    <row r="189" spans="1:16" ht="12.75">
      <c r="A189" s="237"/>
      <c r="B189" s="200"/>
      <c r="C189" s="119"/>
      <c r="D189" s="239"/>
      <c r="E189" s="239"/>
      <c r="F189" s="119"/>
      <c r="G189" s="236"/>
      <c r="H189" s="15"/>
      <c r="I189" s="237"/>
      <c r="J189" s="119"/>
      <c r="K189" s="119"/>
      <c r="L189" s="239"/>
      <c r="M189" s="239"/>
      <c r="N189" s="119"/>
      <c r="O189" s="236"/>
      <c r="P189" s="96"/>
    </row>
    <row r="190" spans="1:16" ht="12.75">
      <c r="A190" s="2"/>
      <c r="B190" s="201"/>
      <c r="C190" s="4"/>
      <c r="D190" s="122"/>
      <c r="E190" s="101"/>
      <c r="F190" s="34"/>
      <c r="G190" s="103"/>
      <c r="H190" s="2"/>
      <c r="I190" s="2"/>
      <c r="J190" s="121"/>
      <c r="K190" s="4"/>
      <c r="L190" s="122"/>
      <c r="M190" s="34"/>
      <c r="N190" s="34"/>
      <c r="O190" s="103"/>
      <c r="P190" s="103"/>
    </row>
    <row r="191" spans="1:16" ht="12.75">
      <c r="A191" s="130"/>
      <c r="B191" s="201"/>
      <c r="C191" s="131"/>
      <c r="D191" s="122"/>
      <c r="E191" s="101"/>
      <c r="F191" s="34"/>
      <c r="G191" s="103"/>
      <c r="H191" s="2"/>
      <c r="I191" s="130"/>
      <c r="J191" s="121"/>
      <c r="K191" s="131"/>
      <c r="L191" s="122"/>
      <c r="M191" s="34"/>
      <c r="N191" s="34"/>
      <c r="O191" s="103"/>
      <c r="P191" s="103"/>
    </row>
    <row r="192" spans="1:16" ht="12.75">
      <c r="A192" s="2"/>
      <c r="B192" s="90"/>
      <c r="C192" s="2"/>
      <c r="D192" s="2"/>
      <c r="E192" s="90"/>
      <c r="F192" s="34"/>
      <c r="G192" s="97"/>
      <c r="H192" s="2"/>
      <c r="I192" s="244"/>
      <c r="J192" s="245"/>
      <c r="K192" s="246"/>
      <c r="L192" s="122"/>
      <c r="M192" s="34"/>
      <c r="N192" s="34"/>
      <c r="O192" s="103"/>
      <c r="P192" s="103"/>
    </row>
    <row r="193" spans="1:16" ht="12.75">
      <c r="A193" s="2"/>
      <c r="B193" s="90"/>
      <c r="C193" s="2"/>
      <c r="D193" s="2"/>
      <c r="E193" s="90"/>
      <c r="F193" s="34"/>
      <c r="G193" s="97"/>
      <c r="H193" s="2"/>
      <c r="I193" s="244"/>
      <c r="J193" s="245"/>
      <c r="K193" s="247"/>
      <c r="L193" s="122"/>
      <c r="M193" s="34"/>
      <c r="N193" s="34"/>
      <c r="O193" s="103"/>
      <c r="P193" s="103"/>
    </row>
    <row r="194" spans="1:16" ht="12.75" customHeight="1">
      <c r="A194" s="2"/>
      <c r="B194" s="90"/>
      <c r="C194" s="2"/>
      <c r="D194" s="2"/>
      <c r="E194" s="90"/>
      <c r="F194" s="34"/>
      <c r="G194" s="103"/>
      <c r="H194" s="2"/>
      <c r="I194" s="2"/>
      <c r="J194" s="2"/>
      <c r="K194" s="2"/>
      <c r="L194" s="2"/>
      <c r="M194" s="2"/>
      <c r="N194" s="34"/>
      <c r="O194" s="103"/>
      <c r="P194" s="103"/>
    </row>
    <row r="195" spans="1:16" ht="12.75" customHeight="1">
      <c r="A195" s="13"/>
      <c r="B195" s="202"/>
      <c r="C195" s="13"/>
      <c r="D195" s="13"/>
      <c r="E195" s="202"/>
      <c r="F195" s="13"/>
      <c r="G195" s="13"/>
      <c r="H195" s="15"/>
      <c r="I195" s="13"/>
      <c r="J195" s="13"/>
      <c r="K195" s="13"/>
      <c r="L195" s="13"/>
      <c r="M195" s="13"/>
      <c r="N195" s="13"/>
      <c r="O195" s="13"/>
      <c r="P195" s="13"/>
    </row>
    <row r="196" spans="1:16" ht="12.75" customHeight="1">
      <c r="A196" s="13"/>
      <c r="B196" s="202"/>
      <c r="C196" s="13"/>
      <c r="D196" s="13"/>
      <c r="E196" s="202"/>
      <c r="F196" s="13"/>
      <c r="G196" s="13"/>
      <c r="H196" s="15"/>
      <c r="I196" s="13"/>
      <c r="J196" s="13"/>
      <c r="K196" s="13"/>
      <c r="L196" s="13"/>
      <c r="M196" s="13"/>
      <c r="N196" s="13"/>
      <c r="O196" s="47"/>
      <c r="P196" s="47"/>
    </row>
    <row r="197" spans="1:16" ht="12.75" customHeight="1">
      <c r="A197" s="13"/>
      <c r="B197" s="202"/>
      <c r="C197" s="13"/>
      <c r="D197" s="13"/>
      <c r="E197" s="202"/>
      <c r="F197" s="13"/>
      <c r="G197" s="13"/>
      <c r="I197" s="13"/>
      <c r="J197" s="13"/>
      <c r="K197" s="13"/>
      <c r="L197" s="13"/>
      <c r="M197" s="13"/>
      <c r="N197" s="13"/>
      <c r="O197" s="13"/>
      <c r="P197" s="13"/>
    </row>
    <row r="198" spans="1:141" ht="12.75" customHeight="1">
      <c r="A198" s="13"/>
      <c r="B198" s="202"/>
      <c r="C198" s="13"/>
      <c r="D198" s="13"/>
      <c r="E198" s="202"/>
      <c r="F198" s="13"/>
      <c r="G198" s="13"/>
      <c r="I198" s="13"/>
      <c r="J198" s="13"/>
      <c r="K198" s="13"/>
      <c r="L198" s="13"/>
      <c r="M198" s="13"/>
      <c r="N198" s="13"/>
      <c r="O198" s="13"/>
      <c r="P198" s="13"/>
      <c r="AG198" s="5"/>
      <c r="EK198" s="6"/>
    </row>
    <row r="199" spans="1:141" ht="12.75" customHeight="1">
      <c r="A199" s="13"/>
      <c r="B199" s="202"/>
      <c r="C199" s="13"/>
      <c r="D199" s="13"/>
      <c r="E199" s="202"/>
      <c r="F199" s="13"/>
      <c r="G199" s="13"/>
      <c r="I199" s="13"/>
      <c r="J199" s="13"/>
      <c r="K199" s="13"/>
      <c r="L199" s="13"/>
      <c r="M199" s="13"/>
      <c r="N199" s="13"/>
      <c r="O199" s="13"/>
      <c r="P199" s="13"/>
      <c r="AG199" s="5"/>
      <c r="EK199" s="6"/>
    </row>
    <row r="200" spans="1:141" ht="12.75" customHeight="1">
      <c r="A200" s="13"/>
      <c r="B200" s="202"/>
      <c r="C200" s="13"/>
      <c r="D200" s="13"/>
      <c r="E200" s="202"/>
      <c r="F200" s="13"/>
      <c r="G200" s="13"/>
      <c r="I200" s="13"/>
      <c r="J200" s="13"/>
      <c r="K200" s="13"/>
      <c r="L200" s="13"/>
      <c r="M200" s="13"/>
      <c r="N200" s="13"/>
      <c r="O200" s="13"/>
      <c r="P200" s="13"/>
      <c r="AG200" s="5"/>
      <c r="EK200" s="6"/>
    </row>
    <row r="201" spans="1:141" ht="12.75" customHeight="1">
      <c r="A201" s="13"/>
      <c r="B201" s="202"/>
      <c r="C201" s="13"/>
      <c r="D201" s="13"/>
      <c r="E201" s="202"/>
      <c r="F201" s="13"/>
      <c r="G201" s="13"/>
      <c r="I201" s="13"/>
      <c r="J201" s="13"/>
      <c r="K201" s="13"/>
      <c r="L201" s="13"/>
      <c r="M201" s="13"/>
      <c r="N201" s="13"/>
      <c r="O201" s="13"/>
      <c r="P201" s="13"/>
      <c r="AG201" s="5"/>
      <c r="EK201" s="6"/>
    </row>
    <row r="202" spans="1:16" ht="12.75" customHeight="1">
      <c r="A202" s="13"/>
      <c r="B202" s="202"/>
      <c r="C202" s="13"/>
      <c r="D202" s="13"/>
      <c r="E202" s="202"/>
      <c r="F202" s="13"/>
      <c r="G202" s="13"/>
      <c r="I202" s="13"/>
      <c r="J202" s="13"/>
      <c r="K202" s="13"/>
      <c r="L202" s="13"/>
      <c r="M202" s="13"/>
      <c r="N202" s="13"/>
      <c r="O202" s="13"/>
      <c r="P202" s="13"/>
    </row>
    <row r="203" spans="1:16" ht="12.75" customHeight="1">
      <c r="A203" s="13"/>
      <c r="B203" s="202"/>
      <c r="C203" s="13"/>
      <c r="D203" s="13"/>
      <c r="E203" s="202"/>
      <c r="F203" s="13"/>
      <c r="G203" s="13"/>
      <c r="I203" s="13"/>
      <c r="J203" s="13"/>
      <c r="K203" s="13"/>
      <c r="L203" s="13"/>
      <c r="M203" s="13"/>
      <c r="N203" s="13"/>
      <c r="O203" s="13"/>
      <c r="P203" s="13"/>
    </row>
    <row r="204" spans="1:16" ht="12.75" customHeight="1">
      <c r="A204" s="13"/>
      <c r="B204" s="202"/>
      <c r="C204" s="13"/>
      <c r="D204" s="13"/>
      <c r="E204" s="202"/>
      <c r="F204" s="13"/>
      <c r="G204" s="13"/>
      <c r="I204" s="13"/>
      <c r="J204" s="13"/>
      <c r="K204" s="13"/>
      <c r="L204" s="13"/>
      <c r="M204" s="13"/>
      <c r="N204" s="13"/>
      <c r="O204" s="13"/>
      <c r="P204" s="13"/>
    </row>
    <row r="205" spans="1:16" ht="12.75" customHeight="1">
      <c r="A205" s="13"/>
      <c r="B205" s="202"/>
      <c r="C205" s="13"/>
      <c r="D205" s="13"/>
      <c r="E205" s="202"/>
      <c r="F205" s="13"/>
      <c r="G205" s="13"/>
      <c r="I205" s="13"/>
      <c r="J205" s="13"/>
      <c r="K205" s="13"/>
      <c r="L205" s="13"/>
      <c r="M205" s="13"/>
      <c r="N205" s="13"/>
      <c r="O205" s="13"/>
      <c r="P205" s="13"/>
    </row>
    <row r="206" spans="1:16" ht="12.75" customHeight="1">
      <c r="A206" s="13"/>
      <c r="B206" s="202"/>
      <c r="C206" s="13"/>
      <c r="D206" s="13"/>
      <c r="E206" s="202"/>
      <c r="F206" s="13"/>
      <c r="G206" s="13"/>
      <c r="I206" s="13"/>
      <c r="J206" s="13"/>
      <c r="K206" s="13"/>
      <c r="L206" s="13"/>
      <c r="M206" s="13"/>
      <c r="N206" s="13"/>
      <c r="O206" s="13"/>
      <c r="P206" s="13"/>
    </row>
    <row r="207" spans="1:16" ht="12.75" customHeight="1">
      <c r="A207" s="13"/>
      <c r="B207" s="202"/>
      <c r="C207" s="13"/>
      <c r="D207" s="13"/>
      <c r="E207" s="202"/>
      <c r="F207" s="13"/>
      <c r="G207" s="13"/>
      <c r="I207" s="13"/>
      <c r="J207" s="13"/>
      <c r="K207" s="13"/>
      <c r="L207" s="13"/>
      <c r="M207" s="13"/>
      <c r="N207" s="13"/>
      <c r="O207" s="13"/>
      <c r="P207" s="13"/>
    </row>
    <row r="208" spans="1:16" ht="12.75" customHeight="1">
      <c r="A208" s="13"/>
      <c r="B208" s="202"/>
      <c r="C208" s="13"/>
      <c r="D208" s="13"/>
      <c r="E208" s="202"/>
      <c r="F208" s="13"/>
      <c r="G208" s="13"/>
      <c r="I208" s="13"/>
      <c r="J208" s="13"/>
      <c r="K208" s="13"/>
      <c r="L208" s="13"/>
      <c r="M208" s="13"/>
      <c r="N208" s="13"/>
      <c r="O208" s="13"/>
      <c r="P208" s="13"/>
    </row>
    <row r="209" spans="1:16" ht="12.75" customHeight="1">
      <c r="A209" s="13"/>
      <c r="B209" s="202"/>
      <c r="C209" s="13"/>
      <c r="D209" s="13"/>
      <c r="E209" s="202"/>
      <c r="F209" s="13"/>
      <c r="G209" s="13"/>
      <c r="I209" s="13"/>
      <c r="J209" s="13"/>
      <c r="K209" s="13"/>
      <c r="L209" s="13"/>
      <c r="M209" s="13"/>
      <c r="N209" s="13"/>
      <c r="O209" s="13"/>
      <c r="P209" s="13"/>
    </row>
    <row r="210" spans="1:16" ht="12.75" customHeight="1">
      <c r="A210" s="13"/>
      <c r="B210" s="202"/>
      <c r="C210" s="13"/>
      <c r="D210" s="13"/>
      <c r="E210" s="202"/>
      <c r="F210" s="13"/>
      <c r="G210" s="13"/>
      <c r="I210" s="13"/>
      <c r="J210" s="13"/>
      <c r="K210" s="13"/>
      <c r="L210" s="13"/>
      <c r="M210" s="13"/>
      <c r="N210" s="13"/>
      <c r="O210" s="13"/>
      <c r="P210" s="13"/>
    </row>
    <row r="211" spans="1:16" ht="12.75" customHeight="1">
      <c r="A211" s="13"/>
      <c r="B211" s="202"/>
      <c r="C211" s="13"/>
      <c r="D211" s="13"/>
      <c r="E211" s="202"/>
      <c r="F211" s="13"/>
      <c r="G211" s="13"/>
      <c r="I211" s="13"/>
      <c r="J211" s="13"/>
      <c r="K211" s="13"/>
      <c r="L211" s="13"/>
      <c r="M211" s="13"/>
      <c r="N211" s="13"/>
      <c r="O211" s="13"/>
      <c r="P211" s="13"/>
    </row>
    <row r="212" spans="1:16" ht="12.75" customHeight="1">
      <c r="A212" s="13"/>
      <c r="B212" s="202"/>
      <c r="C212" s="13"/>
      <c r="D212" s="13"/>
      <c r="E212" s="202"/>
      <c r="F212" s="13"/>
      <c r="G212" s="13"/>
      <c r="I212" s="13"/>
      <c r="J212" s="13"/>
      <c r="K212" s="13"/>
      <c r="L212" s="13"/>
      <c r="M212" s="13"/>
      <c r="N212" s="13"/>
      <c r="O212" s="13"/>
      <c r="P212" s="13"/>
    </row>
    <row r="213" spans="1:16" ht="12.75" customHeight="1">
      <c r="A213" s="13"/>
      <c r="B213" s="202"/>
      <c r="C213" s="13"/>
      <c r="D213" s="13"/>
      <c r="E213" s="202"/>
      <c r="F213" s="13"/>
      <c r="G213" s="13"/>
      <c r="I213" s="13"/>
      <c r="J213" s="13"/>
      <c r="K213" s="13"/>
      <c r="L213" s="13"/>
      <c r="M213" s="13"/>
      <c r="N213" s="13"/>
      <c r="O213" s="13"/>
      <c r="P213" s="13"/>
    </row>
    <row r="214" spans="2:141" s="13" customFormat="1" ht="12.75" customHeight="1">
      <c r="B214" s="202"/>
      <c r="E214" s="202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</row>
    <row r="215" spans="2:141" s="13" customFormat="1" ht="12.75" customHeight="1">
      <c r="B215" s="202"/>
      <c r="E215" s="202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</row>
    <row r="216" spans="2:141" s="13" customFormat="1" ht="12.75" customHeight="1">
      <c r="B216" s="202"/>
      <c r="E216" s="202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</row>
    <row r="217" spans="2:141" s="13" customFormat="1" ht="12.75" customHeight="1">
      <c r="B217" s="202"/>
      <c r="E217" s="202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</row>
    <row r="218" spans="2:141" s="13" customFormat="1" ht="12.75" customHeight="1">
      <c r="B218" s="202"/>
      <c r="E218" s="202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</row>
    <row r="219" spans="2:141" s="13" customFormat="1" ht="12.75" customHeight="1">
      <c r="B219" s="202"/>
      <c r="E219" s="202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</row>
    <row r="220" spans="2:141" s="13" customFormat="1" ht="12.75" customHeight="1">
      <c r="B220" s="202"/>
      <c r="E220" s="202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</row>
    <row r="221" spans="2:141" s="13" customFormat="1" ht="12.75" customHeight="1">
      <c r="B221" s="202"/>
      <c r="E221" s="202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</row>
    <row r="222" spans="2:141" s="13" customFormat="1" ht="12.75" customHeight="1">
      <c r="B222" s="202"/>
      <c r="E222" s="202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</row>
    <row r="223" spans="2:141" s="13" customFormat="1" ht="12.75" customHeight="1">
      <c r="B223" s="202"/>
      <c r="E223" s="202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</row>
    <row r="224" spans="2:141" s="13" customFormat="1" ht="12.75" customHeight="1">
      <c r="B224" s="202"/>
      <c r="E224" s="202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</row>
    <row r="225" spans="2:141" s="13" customFormat="1" ht="12.75" customHeight="1">
      <c r="B225" s="202"/>
      <c r="E225" s="202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</row>
    <row r="226" spans="2:141" s="13" customFormat="1" ht="12.75" customHeight="1">
      <c r="B226" s="202"/>
      <c r="E226" s="202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</row>
    <row r="227" spans="2:141" s="13" customFormat="1" ht="12.75" customHeight="1">
      <c r="B227" s="202"/>
      <c r="E227" s="202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</row>
    <row r="228" spans="2:141" s="13" customFormat="1" ht="12.75" customHeight="1">
      <c r="B228" s="202"/>
      <c r="E228" s="202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</row>
    <row r="229" spans="2:141" s="13" customFormat="1" ht="12.75" customHeight="1">
      <c r="B229" s="202"/>
      <c r="E229" s="202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</row>
    <row r="230" spans="2:141" s="13" customFormat="1" ht="12.75" customHeight="1">
      <c r="B230" s="202"/>
      <c r="E230" s="202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</row>
    <row r="231" spans="2:141" s="13" customFormat="1" ht="12.75" customHeight="1">
      <c r="B231" s="202"/>
      <c r="E231" s="202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</row>
    <row r="232" spans="2:141" s="13" customFormat="1" ht="12.75" customHeight="1">
      <c r="B232" s="202"/>
      <c r="E232" s="202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</row>
    <row r="233" spans="2:141" s="13" customFormat="1" ht="12.75" customHeight="1">
      <c r="B233" s="202"/>
      <c r="E233" s="202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</row>
    <row r="234" spans="2:141" s="13" customFormat="1" ht="12.75" customHeight="1">
      <c r="B234" s="202"/>
      <c r="E234" s="202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</row>
    <row r="235" spans="2:141" s="13" customFormat="1" ht="12.75" customHeight="1">
      <c r="B235" s="202"/>
      <c r="E235" s="202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</row>
    <row r="236" spans="2:141" s="13" customFormat="1" ht="12.75" customHeight="1">
      <c r="B236" s="202"/>
      <c r="E236" s="202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</row>
    <row r="237" spans="2:141" s="13" customFormat="1" ht="12.75" customHeight="1">
      <c r="B237" s="202"/>
      <c r="E237" s="202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</row>
    <row r="238" spans="2:141" s="13" customFormat="1" ht="12.75" customHeight="1">
      <c r="B238" s="202"/>
      <c r="E238" s="202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</row>
    <row r="239" spans="2:141" s="13" customFormat="1" ht="12.75" customHeight="1">
      <c r="B239" s="202"/>
      <c r="E239" s="202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</row>
    <row r="240" spans="2:141" s="13" customFormat="1" ht="12.75" customHeight="1">
      <c r="B240" s="202"/>
      <c r="E240" s="202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</row>
    <row r="241" spans="2:141" s="13" customFormat="1" ht="12.75" customHeight="1">
      <c r="B241" s="202"/>
      <c r="E241" s="202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</row>
    <row r="242" spans="2:141" s="13" customFormat="1" ht="12.75" customHeight="1">
      <c r="B242" s="202"/>
      <c r="E242" s="202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</row>
    <row r="243" spans="2:141" s="13" customFormat="1" ht="12.75" customHeight="1">
      <c r="B243" s="202"/>
      <c r="E243" s="202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</row>
    <row r="244" spans="2:141" s="13" customFormat="1" ht="12.75" customHeight="1">
      <c r="B244" s="202"/>
      <c r="E244" s="202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</row>
    <row r="245" spans="2:141" s="13" customFormat="1" ht="12.75" customHeight="1">
      <c r="B245" s="202"/>
      <c r="E245" s="202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</row>
    <row r="246" spans="2:141" s="13" customFormat="1" ht="12.75" customHeight="1">
      <c r="B246" s="202"/>
      <c r="E246" s="202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</row>
    <row r="247" spans="2:141" s="13" customFormat="1" ht="12.75" customHeight="1">
      <c r="B247" s="202"/>
      <c r="E247" s="202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</row>
    <row r="248" spans="2:141" s="13" customFormat="1" ht="12.75" customHeight="1">
      <c r="B248" s="202"/>
      <c r="E248" s="202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</row>
    <row r="249" spans="2:141" s="13" customFormat="1" ht="12.75" customHeight="1">
      <c r="B249" s="202"/>
      <c r="E249" s="202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</row>
    <row r="250" spans="2:141" s="13" customFormat="1" ht="12.75" customHeight="1">
      <c r="B250" s="202"/>
      <c r="E250" s="202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</row>
    <row r="251" spans="2:141" s="13" customFormat="1" ht="12.75" customHeight="1">
      <c r="B251" s="202"/>
      <c r="E251" s="202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</row>
    <row r="252" spans="2:141" s="13" customFormat="1" ht="12.75" customHeight="1">
      <c r="B252" s="202"/>
      <c r="E252" s="202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</row>
    <row r="253" spans="2:141" s="13" customFormat="1" ht="12.75" customHeight="1">
      <c r="B253" s="202"/>
      <c r="E253" s="202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</row>
    <row r="254" spans="2:141" s="13" customFormat="1" ht="12.75" customHeight="1">
      <c r="B254" s="202"/>
      <c r="E254" s="202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</row>
    <row r="255" spans="2:141" s="13" customFormat="1" ht="12.75" customHeight="1">
      <c r="B255" s="202"/>
      <c r="E255" s="202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</row>
    <row r="256" spans="2:141" s="13" customFormat="1" ht="12.75" customHeight="1">
      <c r="B256" s="202"/>
      <c r="E256" s="202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</row>
    <row r="257" spans="2:141" s="13" customFormat="1" ht="12.75" customHeight="1">
      <c r="B257" s="202"/>
      <c r="E257" s="202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</row>
    <row r="258" spans="2:141" s="13" customFormat="1" ht="12.75" customHeight="1">
      <c r="B258" s="202"/>
      <c r="E258" s="202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</row>
    <row r="259" spans="2:141" s="13" customFormat="1" ht="12.75" customHeight="1">
      <c r="B259" s="202"/>
      <c r="E259" s="202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</row>
    <row r="260" spans="2:141" s="13" customFormat="1" ht="12.75" customHeight="1">
      <c r="B260" s="202"/>
      <c r="E260" s="202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</row>
    <row r="261" spans="2:141" s="13" customFormat="1" ht="12.75" customHeight="1">
      <c r="B261" s="202"/>
      <c r="E261" s="202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</row>
    <row r="262" spans="2:141" s="13" customFormat="1" ht="12.75" customHeight="1">
      <c r="B262" s="202"/>
      <c r="E262" s="202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</row>
    <row r="263" spans="2:141" s="13" customFormat="1" ht="12.75" customHeight="1">
      <c r="B263" s="202"/>
      <c r="E263" s="202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</row>
    <row r="264" spans="2:141" s="13" customFormat="1" ht="12.75" customHeight="1">
      <c r="B264" s="202"/>
      <c r="E264" s="202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</row>
    <row r="265" spans="2:141" s="13" customFormat="1" ht="12.75" customHeight="1">
      <c r="B265" s="202"/>
      <c r="E265" s="202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</row>
    <row r="266" spans="2:141" s="13" customFormat="1" ht="12.75" customHeight="1">
      <c r="B266" s="202"/>
      <c r="E266" s="202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</row>
    <row r="267" spans="2:141" s="13" customFormat="1" ht="12.75" customHeight="1">
      <c r="B267" s="202"/>
      <c r="E267" s="202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</row>
    <row r="268" spans="2:141" s="13" customFormat="1" ht="12.75" customHeight="1">
      <c r="B268" s="202"/>
      <c r="E268" s="202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</row>
    <row r="269" spans="2:141" s="13" customFormat="1" ht="12.75" customHeight="1">
      <c r="B269" s="202"/>
      <c r="E269" s="202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</row>
    <row r="270" spans="2:141" s="13" customFormat="1" ht="12.75" customHeight="1">
      <c r="B270" s="202"/>
      <c r="E270" s="202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</row>
    <row r="271" spans="2:141" s="13" customFormat="1" ht="12.75" customHeight="1">
      <c r="B271" s="202"/>
      <c r="E271" s="202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</row>
    <row r="272" spans="2:141" s="13" customFormat="1" ht="12.75" customHeight="1">
      <c r="B272" s="202"/>
      <c r="E272" s="202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</row>
    <row r="273" spans="2:141" s="13" customFormat="1" ht="12.75" customHeight="1">
      <c r="B273" s="202"/>
      <c r="E273" s="202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</row>
    <row r="274" spans="2:141" s="13" customFormat="1" ht="12.75" customHeight="1">
      <c r="B274" s="202"/>
      <c r="E274" s="202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</row>
    <row r="275" spans="2:141" s="13" customFormat="1" ht="12.75" customHeight="1">
      <c r="B275" s="202"/>
      <c r="E275" s="202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</row>
    <row r="276" spans="2:141" s="13" customFormat="1" ht="12.75" customHeight="1">
      <c r="B276" s="202"/>
      <c r="E276" s="202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</row>
    <row r="277" spans="2:141" s="13" customFormat="1" ht="12.75" customHeight="1">
      <c r="B277" s="202"/>
      <c r="E277" s="202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</row>
    <row r="278" spans="2:141" s="13" customFormat="1" ht="12.75" customHeight="1">
      <c r="B278" s="202"/>
      <c r="E278" s="202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</row>
    <row r="279" spans="2:141" s="13" customFormat="1" ht="12.75" customHeight="1">
      <c r="B279" s="202"/>
      <c r="E279" s="202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</row>
    <row r="280" spans="2:141" s="13" customFormat="1" ht="12.75" customHeight="1">
      <c r="B280" s="202"/>
      <c r="E280" s="202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</row>
    <row r="281" spans="2:141" s="13" customFormat="1" ht="12.75" customHeight="1">
      <c r="B281" s="202"/>
      <c r="E281" s="202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</row>
    <row r="282" spans="2:141" s="13" customFormat="1" ht="12.75" customHeight="1">
      <c r="B282" s="202"/>
      <c r="E282" s="202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</row>
    <row r="283" spans="2:141" s="13" customFormat="1" ht="12.75" customHeight="1">
      <c r="B283" s="202"/>
      <c r="E283" s="202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</row>
    <row r="284" spans="2:141" s="13" customFormat="1" ht="12.75" customHeight="1">
      <c r="B284" s="202"/>
      <c r="E284" s="202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</row>
    <row r="285" spans="2:141" s="13" customFormat="1" ht="12.75" customHeight="1">
      <c r="B285" s="202"/>
      <c r="E285" s="202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</row>
    <row r="286" spans="2:141" s="13" customFormat="1" ht="12.75" customHeight="1">
      <c r="B286" s="202"/>
      <c r="E286" s="202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</row>
    <row r="287" spans="2:141" s="13" customFormat="1" ht="12.75" customHeight="1">
      <c r="B287" s="202"/>
      <c r="E287" s="202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</row>
    <row r="288" spans="2:141" s="13" customFormat="1" ht="12.75" customHeight="1">
      <c r="B288" s="202"/>
      <c r="E288" s="202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</row>
    <row r="289" spans="2:141" s="13" customFormat="1" ht="12.75" customHeight="1">
      <c r="B289" s="202"/>
      <c r="E289" s="202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</row>
    <row r="290" spans="2:141" s="13" customFormat="1" ht="12.75" customHeight="1">
      <c r="B290" s="202"/>
      <c r="E290" s="202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</row>
    <row r="291" spans="2:141" s="13" customFormat="1" ht="12.75" customHeight="1">
      <c r="B291" s="202"/>
      <c r="E291" s="202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</row>
    <row r="292" spans="2:141" s="13" customFormat="1" ht="12.75" customHeight="1">
      <c r="B292" s="202"/>
      <c r="E292" s="202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</row>
    <row r="293" spans="2:141" s="13" customFormat="1" ht="12.75" customHeight="1">
      <c r="B293" s="202"/>
      <c r="E293" s="202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</row>
    <row r="294" spans="2:141" s="13" customFormat="1" ht="12.75" customHeight="1">
      <c r="B294" s="202"/>
      <c r="E294" s="202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</row>
    <row r="295" spans="2:141" s="13" customFormat="1" ht="12.75" customHeight="1">
      <c r="B295" s="202"/>
      <c r="E295" s="202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</row>
    <row r="296" spans="2:141" s="13" customFormat="1" ht="12.75" customHeight="1">
      <c r="B296" s="202"/>
      <c r="E296" s="202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</row>
    <row r="297" spans="2:141" s="13" customFormat="1" ht="12.75" customHeight="1">
      <c r="B297" s="202"/>
      <c r="E297" s="202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</row>
    <row r="298" spans="2:141" s="13" customFormat="1" ht="12.75" customHeight="1">
      <c r="B298" s="202"/>
      <c r="E298" s="202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</row>
    <row r="299" spans="2:141" s="13" customFormat="1" ht="12.75" customHeight="1">
      <c r="B299" s="202"/>
      <c r="E299" s="202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</row>
    <row r="300" spans="2:141" s="13" customFormat="1" ht="12.75" customHeight="1">
      <c r="B300" s="202"/>
      <c r="E300" s="202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</row>
    <row r="301" spans="2:141" s="13" customFormat="1" ht="12.75" customHeight="1">
      <c r="B301" s="202"/>
      <c r="E301" s="202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</row>
    <row r="302" spans="2:141" s="13" customFormat="1" ht="12.75" customHeight="1">
      <c r="B302" s="202"/>
      <c r="E302" s="202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</row>
    <row r="303" spans="2:141" s="13" customFormat="1" ht="12.75" customHeight="1">
      <c r="B303" s="202"/>
      <c r="E303" s="202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</row>
    <row r="304" spans="2:141" s="13" customFormat="1" ht="12.75" customHeight="1">
      <c r="B304" s="202"/>
      <c r="E304" s="202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</row>
    <row r="305" spans="2:141" s="13" customFormat="1" ht="12.75" customHeight="1">
      <c r="B305" s="202"/>
      <c r="E305" s="202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</row>
    <row r="306" spans="2:141" s="13" customFormat="1" ht="12.75" customHeight="1">
      <c r="B306" s="202"/>
      <c r="E306" s="202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</row>
    <row r="307" spans="2:141" s="13" customFormat="1" ht="12.75" customHeight="1">
      <c r="B307" s="202"/>
      <c r="E307" s="202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</row>
    <row r="308" spans="2:141" s="13" customFormat="1" ht="12.75" customHeight="1">
      <c r="B308" s="202"/>
      <c r="E308" s="202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</row>
    <row r="309" spans="2:141" s="13" customFormat="1" ht="12.75" customHeight="1">
      <c r="B309" s="202"/>
      <c r="E309" s="202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</row>
    <row r="310" spans="2:141" s="13" customFormat="1" ht="12.75" customHeight="1">
      <c r="B310" s="202"/>
      <c r="E310" s="202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</row>
    <row r="311" spans="2:141" s="13" customFormat="1" ht="12.75" customHeight="1">
      <c r="B311" s="202"/>
      <c r="E311" s="202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</row>
    <row r="312" spans="2:141" s="13" customFormat="1" ht="12.75" customHeight="1">
      <c r="B312" s="202"/>
      <c r="E312" s="202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</row>
    <row r="313" spans="2:141" s="13" customFormat="1" ht="12.75" customHeight="1">
      <c r="B313" s="202"/>
      <c r="E313" s="202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</row>
    <row r="314" spans="2:141" s="13" customFormat="1" ht="12.75" customHeight="1">
      <c r="B314" s="202"/>
      <c r="E314" s="202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</row>
    <row r="315" spans="2:141" s="13" customFormat="1" ht="12.75" customHeight="1">
      <c r="B315" s="202"/>
      <c r="E315" s="202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</row>
    <row r="316" spans="2:141" s="13" customFormat="1" ht="12.75" customHeight="1">
      <c r="B316" s="202"/>
      <c r="E316" s="202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</row>
    <row r="317" spans="2:141" s="13" customFormat="1" ht="12.75" customHeight="1">
      <c r="B317" s="202"/>
      <c r="E317" s="202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</row>
    <row r="318" spans="2:141" s="13" customFormat="1" ht="12.75" customHeight="1">
      <c r="B318" s="202"/>
      <c r="E318" s="202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</row>
    <row r="319" spans="2:141" s="13" customFormat="1" ht="12.75" customHeight="1">
      <c r="B319" s="202"/>
      <c r="E319" s="202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</row>
    <row r="320" spans="2:141" s="13" customFormat="1" ht="12.75" customHeight="1">
      <c r="B320" s="202"/>
      <c r="E320" s="202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</row>
    <row r="321" spans="2:141" s="13" customFormat="1" ht="12.75" customHeight="1">
      <c r="B321" s="202"/>
      <c r="E321" s="202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</row>
    <row r="322" spans="2:141" s="13" customFormat="1" ht="12.75" customHeight="1">
      <c r="B322" s="202"/>
      <c r="E322" s="202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</row>
    <row r="323" spans="2:141" s="13" customFormat="1" ht="12.75" customHeight="1">
      <c r="B323" s="202"/>
      <c r="E323" s="202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</row>
    <row r="324" spans="2:141" s="13" customFormat="1" ht="12.75" customHeight="1">
      <c r="B324" s="202"/>
      <c r="E324" s="202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</row>
    <row r="325" spans="2:141" s="13" customFormat="1" ht="12.75" customHeight="1">
      <c r="B325" s="202"/>
      <c r="E325" s="202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</row>
    <row r="326" spans="2:141" s="13" customFormat="1" ht="12.75" customHeight="1">
      <c r="B326" s="202"/>
      <c r="E326" s="202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</row>
    <row r="327" spans="2:141" s="13" customFormat="1" ht="12.75" customHeight="1">
      <c r="B327" s="202"/>
      <c r="E327" s="202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</row>
    <row r="328" spans="2:141" s="13" customFormat="1" ht="12.75" customHeight="1">
      <c r="B328" s="202"/>
      <c r="E328" s="202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</row>
    <row r="329" spans="2:141" s="13" customFormat="1" ht="12.75" customHeight="1">
      <c r="B329" s="202"/>
      <c r="E329" s="202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</row>
    <row r="330" spans="2:141" s="13" customFormat="1" ht="12.75" customHeight="1">
      <c r="B330" s="202"/>
      <c r="E330" s="202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</row>
    <row r="331" spans="2:141" s="13" customFormat="1" ht="12.75" customHeight="1">
      <c r="B331" s="202"/>
      <c r="E331" s="202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</row>
    <row r="332" spans="2:141" s="13" customFormat="1" ht="12.75" customHeight="1">
      <c r="B332" s="202"/>
      <c r="E332" s="202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</row>
    <row r="333" spans="2:141" s="13" customFormat="1" ht="12.75" customHeight="1">
      <c r="B333" s="202"/>
      <c r="E333" s="202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</row>
    <row r="334" spans="2:141" s="13" customFormat="1" ht="12.75" customHeight="1">
      <c r="B334" s="202"/>
      <c r="E334" s="202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</row>
    <row r="335" spans="2:141" s="13" customFormat="1" ht="12.75" customHeight="1">
      <c r="B335" s="202"/>
      <c r="E335" s="202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</row>
    <row r="336" spans="2:141" s="13" customFormat="1" ht="12.75" customHeight="1">
      <c r="B336" s="202"/>
      <c r="E336" s="202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</row>
    <row r="337" spans="2:141" s="13" customFormat="1" ht="12.75" customHeight="1">
      <c r="B337" s="202"/>
      <c r="E337" s="202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</row>
    <row r="338" spans="2:141" s="13" customFormat="1" ht="12.75" customHeight="1">
      <c r="B338" s="202"/>
      <c r="E338" s="202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</row>
    <row r="339" spans="2:141" s="13" customFormat="1" ht="12.75" customHeight="1">
      <c r="B339" s="202"/>
      <c r="E339" s="202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</row>
    <row r="340" spans="2:141" s="13" customFormat="1" ht="12.75" customHeight="1">
      <c r="B340" s="202"/>
      <c r="E340" s="202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</row>
    <row r="341" spans="2:141" s="13" customFormat="1" ht="12.75" customHeight="1">
      <c r="B341" s="202"/>
      <c r="E341" s="202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</row>
    <row r="342" spans="2:141" s="13" customFormat="1" ht="12.75" customHeight="1">
      <c r="B342" s="202"/>
      <c r="E342" s="202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</row>
    <row r="343" spans="2:141" s="13" customFormat="1" ht="12.75" customHeight="1">
      <c r="B343" s="202"/>
      <c r="E343" s="202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</row>
    <row r="344" spans="2:141" s="13" customFormat="1" ht="12.75" customHeight="1">
      <c r="B344" s="202"/>
      <c r="E344" s="202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</row>
    <row r="345" spans="2:141" s="13" customFormat="1" ht="12.75" customHeight="1">
      <c r="B345" s="202"/>
      <c r="E345" s="202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</row>
    <row r="346" spans="2:141" s="13" customFormat="1" ht="12.75" customHeight="1">
      <c r="B346" s="202"/>
      <c r="E346" s="202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</row>
    <row r="347" spans="2:141" s="13" customFormat="1" ht="12.75" customHeight="1">
      <c r="B347" s="202"/>
      <c r="E347" s="202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</row>
    <row r="348" spans="2:141" s="13" customFormat="1" ht="12.75" customHeight="1">
      <c r="B348" s="202"/>
      <c r="E348" s="202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</row>
    <row r="349" spans="2:141" s="13" customFormat="1" ht="12.75" customHeight="1">
      <c r="B349" s="202"/>
      <c r="E349" s="202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</row>
    <row r="350" spans="2:141" s="13" customFormat="1" ht="12.75" customHeight="1">
      <c r="B350" s="202"/>
      <c r="E350" s="202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</row>
    <row r="351" spans="2:141" s="13" customFormat="1" ht="12.75" customHeight="1">
      <c r="B351" s="202"/>
      <c r="E351" s="202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</row>
    <row r="352" spans="2:141" s="13" customFormat="1" ht="12.75" customHeight="1">
      <c r="B352" s="202"/>
      <c r="E352" s="202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</row>
    <row r="353" spans="2:141" s="13" customFormat="1" ht="12.75" customHeight="1">
      <c r="B353" s="202"/>
      <c r="E353" s="202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</row>
    <row r="354" spans="2:141" s="13" customFormat="1" ht="12.75" customHeight="1">
      <c r="B354" s="202"/>
      <c r="E354" s="202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</row>
    <row r="355" spans="2:141" s="13" customFormat="1" ht="12.75" customHeight="1">
      <c r="B355" s="202"/>
      <c r="E355" s="202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</row>
    <row r="356" spans="2:141" s="13" customFormat="1" ht="12.75" customHeight="1">
      <c r="B356" s="202"/>
      <c r="E356" s="202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</row>
    <row r="357" spans="2:141" s="13" customFormat="1" ht="12.75" customHeight="1">
      <c r="B357" s="202"/>
      <c r="E357" s="202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</row>
    <row r="358" spans="2:141" s="13" customFormat="1" ht="12.75" customHeight="1">
      <c r="B358" s="202"/>
      <c r="E358" s="202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</row>
    <row r="359" spans="2:141" s="13" customFormat="1" ht="12.75" customHeight="1">
      <c r="B359" s="202"/>
      <c r="E359" s="202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</row>
    <row r="360" spans="2:141" s="13" customFormat="1" ht="12.75" customHeight="1">
      <c r="B360" s="202"/>
      <c r="E360" s="202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</row>
    <row r="361" spans="2:141" s="13" customFormat="1" ht="12.75" customHeight="1">
      <c r="B361" s="202"/>
      <c r="E361" s="202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</row>
    <row r="362" spans="2:141" s="13" customFormat="1" ht="12.75" customHeight="1">
      <c r="B362" s="202"/>
      <c r="E362" s="202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</row>
    <row r="363" spans="2:141" s="13" customFormat="1" ht="12.75" customHeight="1">
      <c r="B363" s="202"/>
      <c r="E363" s="202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</row>
    <row r="364" spans="2:141" s="13" customFormat="1" ht="12.75" customHeight="1">
      <c r="B364" s="202"/>
      <c r="E364" s="202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</row>
    <row r="365" spans="2:141" s="13" customFormat="1" ht="12.75" customHeight="1">
      <c r="B365" s="202"/>
      <c r="E365" s="202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</row>
    <row r="366" spans="2:141" s="13" customFormat="1" ht="12.75" customHeight="1">
      <c r="B366" s="202"/>
      <c r="E366" s="202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</row>
    <row r="367" spans="2:141" s="13" customFormat="1" ht="12.75" customHeight="1">
      <c r="B367" s="202"/>
      <c r="E367" s="202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</row>
    <row r="368" spans="2:141" s="13" customFormat="1" ht="12.75" customHeight="1">
      <c r="B368" s="202"/>
      <c r="E368" s="202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</row>
    <row r="369" spans="2:141" s="13" customFormat="1" ht="12.75" customHeight="1">
      <c r="B369" s="202"/>
      <c r="E369" s="202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</row>
    <row r="370" spans="2:141" s="13" customFormat="1" ht="12.75" customHeight="1">
      <c r="B370" s="202"/>
      <c r="E370" s="202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</row>
    <row r="371" spans="2:141" s="13" customFormat="1" ht="12.75" customHeight="1">
      <c r="B371" s="202"/>
      <c r="E371" s="202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</row>
    <row r="372" spans="2:141" s="13" customFormat="1" ht="12.75" customHeight="1">
      <c r="B372" s="202"/>
      <c r="E372" s="202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</row>
    <row r="373" spans="2:141" s="13" customFormat="1" ht="12.75" customHeight="1">
      <c r="B373" s="202"/>
      <c r="E373" s="202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</row>
    <row r="374" spans="2:141" s="13" customFormat="1" ht="12.75" customHeight="1">
      <c r="B374" s="202"/>
      <c r="E374" s="202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</row>
    <row r="375" spans="2:141" s="13" customFormat="1" ht="12.75" customHeight="1">
      <c r="B375" s="202"/>
      <c r="E375" s="202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</row>
    <row r="376" spans="2:141" s="13" customFormat="1" ht="12.75" customHeight="1">
      <c r="B376" s="202"/>
      <c r="E376" s="202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</row>
    <row r="377" spans="2:141" s="13" customFormat="1" ht="12.75" customHeight="1">
      <c r="B377" s="202"/>
      <c r="E377" s="202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</row>
    <row r="378" spans="2:141" s="13" customFormat="1" ht="12.75" customHeight="1">
      <c r="B378" s="202"/>
      <c r="E378" s="202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</row>
    <row r="379" spans="2:141" s="13" customFormat="1" ht="12.75" customHeight="1">
      <c r="B379" s="202"/>
      <c r="E379" s="202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</row>
    <row r="380" spans="2:141" s="13" customFormat="1" ht="12.75" customHeight="1">
      <c r="B380" s="202"/>
      <c r="E380" s="202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</row>
    <row r="381" spans="2:141" s="13" customFormat="1" ht="12.75" customHeight="1">
      <c r="B381" s="202"/>
      <c r="E381" s="202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</row>
    <row r="382" spans="2:141" s="13" customFormat="1" ht="12.75" customHeight="1">
      <c r="B382" s="202"/>
      <c r="E382" s="202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</row>
    <row r="383" spans="2:141" s="13" customFormat="1" ht="12.75" customHeight="1">
      <c r="B383" s="202"/>
      <c r="E383" s="202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</row>
    <row r="384" spans="2:141" s="13" customFormat="1" ht="12.75" customHeight="1">
      <c r="B384" s="202"/>
      <c r="E384" s="202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</row>
    <row r="385" spans="2:141" s="13" customFormat="1" ht="12.75" customHeight="1">
      <c r="B385" s="202"/>
      <c r="E385" s="202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</row>
    <row r="386" spans="2:141" s="13" customFormat="1" ht="12.75" customHeight="1">
      <c r="B386" s="202"/>
      <c r="E386" s="202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</row>
    <row r="387" spans="2:141" s="13" customFormat="1" ht="12.75" customHeight="1">
      <c r="B387" s="202"/>
      <c r="E387" s="202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</row>
    <row r="388" spans="2:141" s="13" customFormat="1" ht="12.75" customHeight="1">
      <c r="B388" s="202"/>
      <c r="E388" s="202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</row>
    <row r="389" spans="2:141" s="13" customFormat="1" ht="12.75" customHeight="1">
      <c r="B389" s="202"/>
      <c r="E389" s="202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</row>
    <row r="390" spans="2:141" s="13" customFormat="1" ht="12.75" customHeight="1">
      <c r="B390" s="202"/>
      <c r="E390" s="202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</row>
    <row r="391" spans="2:141" s="13" customFormat="1" ht="12.75" customHeight="1">
      <c r="B391" s="202"/>
      <c r="E391" s="202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</row>
    <row r="392" spans="2:141" s="13" customFormat="1" ht="12.75" customHeight="1">
      <c r="B392" s="202"/>
      <c r="E392" s="202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</row>
    <row r="393" spans="2:141" s="13" customFormat="1" ht="12.75" customHeight="1">
      <c r="B393" s="202"/>
      <c r="E393" s="202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</row>
    <row r="394" spans="2:141" s="13" customFormat="1" ht="12.75" customHeight="1">
      <c r="B394" s="202"/>
      <c r="E394" s="202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</row>
    <row r="395" spans="2:141" s="13" customFormat="1" ht="12.75" customHeight="1">
      <c r="B395" s="202"/>
      <c r="E395" s="202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</row>
    <row r="396" spans="2:141" s="13" customFormat="1" ht="12.75" customHeight="1">
      <c r="B396" s="202"/>
      <c r="E396" s="202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</row>
    <row r="397" spans="2:141" s="13" customFormat="1" ht="12.75" customHeight="1">
      <c r="B397" s="202"/>
      <c r="E397" s="202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</row>
    <row r="398" spans="2:141" s="13" customFormat="1" ht="12.75" customHeight="1">
      <c r="B398" s="202"/>
      <c r="E398" s="202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</row>
    <row r="399" spans="2:141" s="13" customFormat="1" ht="12.75" customHeight="1">
      <c r="B399" s="202"/>
      <c r="E399" s="202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</row>
    <row r="400" spans="2:141" s="13" customFormat="1" ht="12.75" customHeight="1">
      <c r="B400" s="202"/>
      <c r="E400" s="202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</row>
    <row r="401" spans="2:141" s="13" customFormat="1" ht="12.75" customHeight="1">
      <c r="B401" s="202"/>
      <c r="E401" s="202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</row>
    <row r="402" spans="2:141" s="13" customFormat="1" ht="12.75" customHeight="1">
      <c r="B402" s="202"/>
      <c r="E402" s="202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</row>
    <row r="403" spans="2:141" s="13" customFormat="1" ht="12.75" customHeight="1">
      <c r="B403" s="202"/>
      <c r="E403" s="202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</row>
    <row r="404" spans="2:141" s="13" customFormat="1" ht="12.75" customHeight="1">
      <c r="B404" s="202"/>
      <c r="E404" s="202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</row>
    <row r="405" spans="2:141" s="13" customFormat="1" ht="12.75" customHeight="1">
      <c r="B405" s="202"/>
      <c r="E405" s="202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</row>
    <row r="406" spans="2:141" s="13" customFormat="1" ht="12.75" customHeight="1">
      <c r="B406" s="202"/>
      <c r="E406" s="202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</row>
    <row r="407" spans="2:141" s="13" customFormat="1" ht="12.75" customHeight="1">
      <c r="B407" s="202"/>
      <c r="E407" s="202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</row>
    <row r="408" spans="2:141" s="13" customFormat="1" ht="12.75" customHeight="1">
      <c r="B408" s="202"/>
      <c r="E408" s="202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</row>
    <row r="409" spans="2:141" s="13" customFormat="1" ht="12.75" customHeight="1">
      <c r="B409" s="202"/>
      <c r="E409" s="202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</row>
    <row r="410" spans="2:141" s="13" customFormat="1" ht="12.75" customHeight="1">
      <c r="B410" s="202"/>
      <c r="E410" s="202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</row>
    <row r="411" spans="2:141" s="13" customFormat="1" ht="12.75" customHeight="1">
      <c r="B411" s="202"/>
      <c r="E411" s="202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</row>
    <row r="412" spans="2:141" s="13" customFormat="1" ht="12.75" customHeight="1">
      <c r="B412" s="202"/>
      <c r="E412" s="202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</row>
    <row r="413" spans="2:141" s="13" customFormat="1" ht="12.75" customHeight="1">
      <c r="B413" s="202"/>
      <c r="E413" s="202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</row>
    <row r="414" spans="2:141" s="13" customFormat="1" ht="12.75" customHeight="1">
      <c r="B414" s="202"/>
      <c r="E414" s="202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</row>
    <row r="415" spans="2:141" s="13" customFormat="1" ht="12.75" customHeight="1">
      <c r="B415" s="202"/>
      <c r="E415" s="202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</row>
    <row r="416" spans="2:141" s="13" customFormat="1" ht="12.75" customHeight="1">
      <c r="B416" s="202"/>
      <c r="E416" s="202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</row>
    <row r="417" spans="2:141" s="13" customFormat="1" ht="12.75" customHeight="1">
      <c r="B417" s="202"/>
      <c r="E417" s="202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</row>
    <row r="418" spans="2:141" s="13" customFormat="1" ht="12.75" customHeight="1">
      <c r="B418" s="202"/>
      <c r="E418" s="202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</row>
    <row r="419" spans="2:141" s="13" customFormat="1" ht="12.75" customHeight="1">
      <c r="B419" s="202"/>
      <c r="E419" s="202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</row>
    <row r="420" spans="2:141" s="13" customFormat="1" ht="12.75" customHeight="1">
      <c r="B420" s="202"/>
      <c r="E420" s="202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</row>
    <row r="421" spans="2:141" s="13" customFormat="1" ht="12.75" customHeight="1">
      <c r="B421" s="202"/>
      <c r="E421" s="202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</row>
    <row r="422" spans="2:141" s="13" customFormat="1" ht="12.75" customHeight="1">
      <c r="B422" s="202"/>
      <c r="E422" s="202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</row>
    <row r="423" spans="2:141" s="13" customFormat="1" ht="12.75" customHeight="1">
      <c r="B423" s="202"/>
      <c r="E423" s="202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</row>
    <row r="424" spans="2:141" s="13" customFormat="1" ht="12.75" customHeight="1">
      <c r="B424" s="202"/>
      <c r="E424" s="202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</row>
    <row r="425" spans="2:141" s="13" customFormat="1" ht="12.75" customHeight="1">
      <c r="B425" s="202"/>
      <c r="E425" s="202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</row>
    <row r="426" spans="2:141" s="13" customFormat="1" ht="12.75" customHeight="1">
      <c r="B426" s="202"/>
      <c r="E426" s="202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</row>
    <row r="427" spans="2:141" s="13" customFormat="1" ht="12.75" customHeight="1">
      <c r="B427" s="202"/>
      <c r="E427" s="202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</row>
    <row r="428" spans="2:141" s="13" customFormat="1" ht="12.75" customHeight="1">
      <c r="B428" s="202"/>
      <c r="E428" s="202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</row>
    <row r="429" spans="2:141" s="13" customFormat="1" ht="12.75" customHeight="1">
      <c r="B429" s="202"/>
      <c r="E429" s="202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</row>
    <row r="430" spans="2:141" s="13" customFormat="1" ht="12.75" customHeight="1">
      <c r="B430" s="202"/>
      <c r="E430" s="202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</row>
    <row r="431" spans="2:141" s="13" customFormat="1" ht="12.75" customHeight="1">
      <c r="B431" s="202"/>
      <c r="E431" s="202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</row>
    <row r="432" spans="2:141" s="13" customFormat="1" ht="12.75" customHeight="1">
      <c r="B432" s="202"/>
      <c r="E432" s="202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</row>
    <row r="433" spans="2:141" s="13" customFormat="1" ht="12.75" customHeight="1">
      <c r="B433" s="202"/>
      <c r="E433" s="202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</row>
    <row r="434" spans="2:141" s="13" customFormat="1" ht="12.75" customHeight="1">
      <c r="B434" s="202"/>
      <c r="E434" s="202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</row>
    <row r="435" spans="1:141" s="13" customFormat="1" ht="12.75" customHeight="1">
      <c r="A435" s="6"/>
      <c r="B435" s="185"/>
      <c r="C435" s="6"/>
      <c r="D435" s="6"/>
      <c r="E435" s="185"/>
      <c r="F435" s="6"/>
      <c r="G435" s="6"/>
      <c r="I435" s="6"/>
      <c r="J435" s="6"/>
      <c r="K435" s="6"/>
      <c r="L435" s="6"/>
      <c r="M435" s="6"/>
      <c r="N435" s="6"/>
      <c r="O435" s="6"/>
      <c r="P435" s="6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</row>
    <row r="436" spans="1:141" s="13" customFormat="1" ht="12.75" customHeight="1">
      <c r="A436" s="6"/>
      <c r="B436" s="185"/>
      <c r="C436" s="6"/>
      <c r="D436" s="6"/>
      <c r="E436" s="185"/>
      <c r="F436" s="6"/>
      <c r="G436" s="6"/>
      <c r="I436" s="6"/>
      <c r="J436" s="6"/>
      <c r="K436" s="6"/>
      <c r="L436" s="6"/>
      <c r="M436" s="6"/>
      <c r="N436" s="6"/>
      <c r="O436" s="6"/>
      <c r="P436" s="6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</row>
    <row r="437" spans="1:141" s="13" customFormat="1" ht="12.75" customHeight="1">
      <c r="A437" s="6"/>
      <c r="B437" s="185"/>
      <c r="C437" s="6"/>
      <c r="D437" s="6"/>
      <c r="E437" s="185"/>
      <c r="F437" s="6"/>
      <c r="G437" s="6"/>
      <c r="I437" s="6"/>
      <c r="J437" s="6"/>
      <c r="K437" s="6"/>
      <c r="L437" s="6"/>
      <c r="M437" s="6"/>
      <c r="N437" s="6"/>
      <c r="O437" s="6"/>
      <c r="P437" s="6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</row>
    <row r="438" spans="1:141" s="13" customFormat="1" ht="12.75" customHeight="1">
      <c r="A438" s="6"/>
      <c r="B438" s="185"/>
      <c r="C438" s="6"/>
      <c r="D438" s="6"/>
      <c r="E438" s="185"/>
      <c r="F438" s="6"/>
      <c r="G438" s="6"/>
      <c r="I438" s="6"/>
      <c r="J438" s="6"/>
      <c r="K438" s="6"/>
      <c r="L438" s="6"/>
      <c r="M438" s="6"/>
      <c r="N438" s="6"/>
      <c r="O438" s="6"/>
      <c r="P438" s="6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</row>
    <row r="439" spans="1:141" s="13" customFormat="1" ht="12.75" customHeight="1">
      <c r="A439" s="6"/>
      <c r="B439" s="185"/>
      <c r="C439" s="6"/>
      <c r="D439" s="6"/>
      <c r="E439" s="185"/>
      <c r="F439" s="6"/>
      <c r="G439" s="6"/>
      <c r="I439" s="6"/>
      <c r="J439" s="6"/>
      <c r="K439" s="6"/>
      <c r="L439" s="6"/>
      <c r="M439" s="6"/>
      <c r="N439" s="6"/>
      <c r="O439" s="6"/>
      <c r="P439" s="6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</row>
    <row r="440" spans="1:141" s="13" customFormat="1" ht="12.75" customHeight="1">
      <c r="A440" s="6"/>
      <c r="B440" s="185"/>
      <c r="C440" s="6"/>
      <c r="D440" s="6"/>
      <c r="E440" s="185"/>
      <c r="F440" s="6"/>
      <c r="G440" s="6"/>
      <c r="I440" s="6"/>
      <c r="J440" s="6"/>
      <c r="K440" s="6"/>
      <c r="L440" s="6"/>
      <c r="M440" s="6"/>
      <c r="N440" s="6"/>
      <c r="O440" s="6"/>
      <c r="P440" s="6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</row>
    <row r="441" spans="1:141" s="13" customFormat="1" ht="12.75" customHeight="1">
      <c r="A441" s="6"/>
      <c r="B441" s="185"/>
      <c r="C441" s="6"/>
      <c r="D441" s="6"/>
      <c r="E441" s="185"/>
      <c r="F441" s="6"/>
      <c r="G441" s="6"/>
      <c r="I441" s="6"/>
      <c r="J441" s="6"/>
      <c r="K441" s="6"/>
      <c r="L441" s="6"/>
      <c r="M441" s="6"/>
      <c r="N441" s="6"/>
      <c r="O441" s="6"/>
      <c r="P441" s="6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</row>
    <row r="442" spans="1:141" s="13" customFormat="1" ht="12.75" customHeight="1">
      <c r="A442" s="6"/>
      <c r="B442" s="185"/>
      <c r="C442" s="6"/>
      <c r="D442" s="6"/>
      <c r="E442" s="185"/>
      <c r="F442" s="6"/>
      <c r="G442" s="6"/>
      <c r="I442" s="6"/>
      <c r="J442" s="6"/>
      <c r="K442" s="6"/>
      <c r="L442" s="6"/>
      <c r="M442" s="6"/>
      <c r="N442" s="6"/>
      <c r="O442" s="6"/>
      <c r="P442" s="6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</row>
    <row r="443" spans="1:141" s="13" customFormat="1" ht="12.75" customHeight="1">
      <c r="A443" s="6"/>
      <c r="B443" s="185"/>
      <c r="C443" s="6"/>
      <c r="D443" s="6"/>
      <c r="E443" s="185"/>
      <c r="F443" s="6"/>
      <c r="G443" s="6"/>
      <c r="I443" s="6"/>
      <c r="J443" s="6"/>
      <c r="K443" s="6"/>
      <c r="L443" s="6"/>
      <c r="M443" s="6"/>
      <c r="N443" s="6"/>
      <c r="O443" s="6"/>
      <c r="P443" s="6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</row>
    <row r="444" spans="1:141" s="13" customFormat="1" ht="12.75" customHeight="1">
      <c r="A444" s="6"/>
      <c r="B444" s="185"/>
      <c r="C444" s="6"/>
      <c r="D444" s="6"/>
      <c r="E444" s="185"/>
      <c r="F444" s="6"/>
      <c r="G444" s="6"/>
      <c r="I444" s="6"/>
      <c r="J444" s="6"/>
      <c r="K444" s="6"/>
      <c r="L444" s="6"/>
      <c r="M444" s="6"/>
      <c r="N444" s="6"/>
      <c r="O444" s="6"/>
      <c r="P444" s="6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</row>
    <row r="445" spans="1:141" s="13" customFormat="1" ht="12.75" customHeight="1">
      <c r="A445" s="6"/>
      <c r="B445" s="185"/>
      <c r="C445" s="6"/>
      <c r="D445" s="6"/>
      <c r="E445" s="185"/>
      <c r="F445" s="6"/>
      <c r="G445" s="6"/>
      <c r="I445" s="6"/>
      <c r="J445" s="6"/>
      <c r="K445" s="6"/>
      <c r="L445" s="6"/>
      <c r="M445" s="6"/>
      <c r="N445" s="6"/>
      <c r="O445" s="6"/>
      <c r="P445" s="6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</row>
    <row r="446" spans="1:141" s="13" customFormat="1" ht="12.75" customHeight="1">
      <c r="A446" s="6"/>
      <c r="B446" s="185"/>
      <c r="C446" s="6"/>
      <c r="D446" s="6"/>
      <c r="E446" s="185"/>
      <c r="F446" s="6"/>
      <c r="G446" s="6"/>
      <c r="I446" s="6"/>
      <c r="J446" s="6"/>
      <c r="K446" s="6"/>
      <c r="L446" s="6"/>
      <c r="M446" s="6"/>
      <c r="N446" s="6"/>
      <c r="O446" s="6"/>
      <c r="P446" s="6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</row>
    <row r="447" spans="1:141" s="13" customFormat="1" ht="12.75" customHeight="1">
      <c r="A447" s="6"/>
      <c r="B447" s="185"/>
      <c r="C447" s="6"/>
      <c r="D447" s="6"/>
      <c r="E447" s="185"/>
      <c r="F447" s="6"/>
      <c r="G447" s="6"/>
      <c r="I447" s="6"/>
      <c r="J447" s="6"/>
      <c r="K447" s="6"/>
      <c r="L447" s="6"/>
      <c r="M447" s="6"/>
      <c r="N447" s="6"/>
      <c r="O447" s="6"/>
      <c r="P447" s="6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</row>
    <row r="448" spans="1:141" s="13" customFormat="1" ht="12.75" customHeight="1">
      <c r="A448" s="6"/>
      <c r="B448" s="185"/>
      <c r="C448" s="6"/>
      <c r="D448" s="6"/>
      <c r="E448" s="185"/>
      <c r="F448" s="6"/>
      <c r="G448" s="6"/>
      <c r="I448" s="6"/>
      <c r="J448" s="6"/>
      <c r="K448" s="6"/>
      <c r="L448" s="6"/>
      <c r="M448" s="6"/>
      <c r="N448" s="6"/>
      <c r="O448" s="6"/>
      <c r="P448" s="6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</row>
    <row r="449" spans="1:141" s="13" customFormat="1" ht="12.75" customHeight="1">
      <c r="A449" s="6"/>
      <c r="B449" s="185"/>
      <c r="C449" s="6"/>
      <c r="D449" s="6"/>
      <c r="E449" s="185"/>
      <c r="F449" s="6"/>
      <c r="G449" s="6"/>
      <c r="I449" s="6"/>
      <c r="J449" s="6"/>
      <c r="K449" s="6"/>
      <c r="L449" s="6"/>
      <c r="M449" s="6"/>
      <c r="N449" s="6"/>
      <c r="O449" s="6"/>
      <c r="P449" s="6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</row>
    <row r="450" spans="1:141" s="13" customFormat="1" ht="12.75" customHeight="1">
      <c r="A450" s="6"/>
      <c r="B450" s="185"/>
      <c r="C450" s="6"/>
      <c r="D450" s="6"/>
      <c r="E450" s="185"/>
      <c r="F450" s="6"/>
      <c r="G450" s="6"/>
      <c r="I450" s="6"/>
      <c r="J450" s="6"/>
      <c r="K450" s="6"/>
      <c r="L450" s="6"/>
      <c r="M450" s="6"/>
      <c r="N450" s="6"/>
      <c r="O450" s="6"/>
      <c r="P450" s="6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</row>
    <row r="451" spans="1:141" s="13" customFormat="1" ht="12.75" customHeight="1">
      <c r="A451" s="6"/>
      <c r="B451" s="185"/>
      <c r="C451" s="6"/>
      <c r="D451" s="6"/>
      <c r="E451" s="185"/>
      <c r="F451" s="6"/>
      <c r="G451" s="6"/>
      <c r="I451" s="6"/>
      <c r="J451" s="6"/>
      <c r="K451" s="6"/>
      <c r="L451" s="6"/>
      <c r="M451" s="6"/>
      <c r="N451" s="6"/>
      <c r="O451" s="6"/>
      <c r="P451" s="6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</row>
    <row r="452" spans="1:141" s="13" customFormat="1" ht="12.75" customHeight="1">
      <c r="A452" s="6"/>
      <c r="B452" s="185"/>
      <c r="C452" s="6"/>
      <c r="D452" s="6"/>
      <c r="E452" s="185"/>
      <c r="F452" s="6"/>
      <c r="G452" s="6"/>
      <c r="I452" s="6"/>
      <c r="J452" s="6"/>
      <c r="K452" s="6"/>
      <c r="L452" s="6"/>
      <c r="M452" s="6"/>
      <c r="N452" s="6"/>
      <c r="O452" s="6"/>
      <c r="P452" s="6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</row>
    <row r="453" spans="1:141" s="13" customFormat="1" ht="12.75" customHeight="1">
      <c r="A453" s="6"/>
      <c r="B453" s="185"/>
      <c r="C453" s="6"/>
      <c r="D453" s="6"/>
      <c r="E453" s="185"/>
      <c r="F453" s="6"/>
      <c r="G453" s="6"/>
      <c r="I453" s="6"/>
      <c r="J453" s="6"/>
      <c r="K453" s="6"/>
      <c r="L453" s="6"/>
      <c r="M453" s="6"/>
      <c r="N453" s="6"/>
      <c r="O453" s="6"/>
      <c r="P453" s="6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</row>
    <row r="454" spans="1:141" s="13" customFormat="1" ht="12.75" customHeight="1">
      <c r="A454" s="6"/>
      <c r="B454" s="185"/>
      <c r="C454" s="6"/>
      <c r="D454" s="6"/>
      <c r="E454" s="185"/>
      <c r="F454" s="6"/>
      <c r="G454" s="6"/>
      <c r="I454" s="6"/>
      <c r="J454" s="6"/>
      <c r="K454" s="6"/>
      <c r="L454" s="6"/>
      <c r="M454" s="6"/>
      <c r="N454" s="6"/>
      <c r="O454" s="6"/>
      <c r="P454" s="6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</row>
    <row r="455" spans="1:141" s="13" customFormat="1" ht="12.75" customHeight="1">
      <c r="A455" s="6"/>
      <c r="B455" s="185"/>
      <c r="C455" s="6"/>
      <c r="D455" s="6"/>
      <c r="E455" s="185"/>
      <c r="F455" s="6"/>
      <c r="G455" s="6"/>
      <c r="I455" s="6"/>
      <c r="J455" s="6"/>
      <c r="K455" s="6"/>
      <c r="L455" s="6"/>
      <c r="M455" s="6"/>
      <c r="N455" s="6"/>
      <c r="O455" s="6"/>
      <c r="P455" s="6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</row>
    <row r="456" spans="1:141" s="13" customFormat="1" ht="12.75" customHeight="1">
      <c r="A456" s="6"/>
      <c r="B456" s="185"/>
      <c r="C456" s="6"/>
      <c r="D456" s="6"/>
      <c r="E456" s="185"/>
      <c r="F456" s="6"/>
      <c r="G456" s="6"/>
      <c r="I456" s="6"/>
      <c r="J456" s="6"/>
      <c r="K456" s="6"/>
      <c r="L456" s="6"/>
      <c r="M456" s="6"/>
      <c r="N456" s="6"/>
      <c r="O456" s="6"/>
      <c r="P456" s="6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</row>
    <row r="457" spans="1:141" s="13" customFormat="1" ht="12.75" customHeight="1">
      <c r="A457" s="6"/>
      <c r="B457" s="185"/>
      <c r="C457" s="6"/>
      <c r="D457" s="6"/>
      <c r="E457" s="185"/>
      <c r="F457" s="6"/>
      <c r="G457" s="6"/>
      <c r="I457" s="6"/>
      <c r="J457" s="6"/>
      <c r="K457" s="6"/>
      <c r="L457" s="6"/>
      <c r="M457" s="6"/>
      <c r="N457" s="6"/>
      <c r="O457" s="6"/>
      <c r="P457" s="6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</row>
    <row r="458" spans="1:141" s="13" customFormat="1" ht="12.75" customHeight="1">
      <c r="A458" s="6"/>
      <c r="B458" s="185"/>
      <c r="C458" s="6"/>
      <c r="D458" s="6"/>
      <c r="E458" s="185"/>
      <c r="F458" s="6"/>
      <c r="G458" s="6"/>
      <c r="I458" s="6"/>
      <c r="J458" s="6"/>
      <c r="K458" s="6"/>
      <c r="L458" s="6"/>
      <c r="M458" s="6"/>
      <c r="N458" s="6"/>
      <c r="O458" s="6"/>
      <c r="P458" s="6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</row>
    <row r="459" spans="1:141" s="13" customFormat="1" ht="12.75" customHeight="1">
      <c r="A459" s="6"/>
      <c r="B459" s="185"/>
      <c r="C459" s="6"/>
      <c r="D459" s="6"/>
      <c r="E459" s="185"/>
      <c r="F459" s="6"/>
      <c r="G459" s="6"/>
      <c r="I459" s="6"/>
      <c r="J459" s="6"/>
      <c r="K459" s="6"/>
      <c r="L459" s="6"/>
      <c r="M459" s="6"/>
      <c r="N459" s="6"/>
      <c r="O459" s="6"/>
      <c r="P459" s="6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</row>
    <row r="460" spans="1:141" s="13" customFormat="1" ht="12.75" customHeight="1">
      <c r="A460" s="6"/>
      <c r="B460" s="185"/>
      <c r="C460" s="6"/>
      <c r="D460" s="6"/>
      <c r="E460" s="185"/>
      <c r="F460" s="6"/>
      <c r="G460" s="6"/>
      <c r="I460" s="6"/>
      <c r="J460" s="6"/>
      <c r="K460" s="6"/>
      <c r="L460" s="6"/>
      <c r="M460" s="6"/>
      <c r="N460" s="6"/>
      <c r="O460" s="6"/>
      <c r="P460" s="6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</row>
  </sheetData>
  <mergeCells count="104">
    <mergeCell ref="A104:C104"/>
    <mergeCell ref="D104:F104"/>
    <mergeCell ref="A92:C103"/>
    <mergeCell ref="D92:F92"/>
    <mergeCell ref="D93:F93"/>
    <mergeCell ref="D94:F94"/>
    <mergeCell ref="D98:F98"/>
    <mergeCell ref="D99:F99"/>
    <mergeCell ref="D100:F100"/>
    <mergeCell ref="A86:F86"/>
    <mergeCell ref="A87:C87"/>
    <mergeCell ref="D87:F87"/>
    <mergeCell ref="A88:C88"/>
    <mergeCell ref="D88:F88"/>
    <mergeCell ref="A80:F80"/>
    <mergeCell ref="A81:C81"/>
    <mergeCell ref="D81:F81"/>
    <mergeCell ref="A82:C82"/>
    <mergeCell ref="D82:F82"/>
    <mergeCell ref="A68:A69"/>
    <mergeCell ref="D70:D71"/>
    <mergeCell ref="A79:C79"/>
    <mergeCell ref="D79:F79"/>
    <mergeCell ref="A61:F61"/>
    <mergeCell ref="A63:F63"/>
    <mergeCell ref="B64:C64"/>
    <mergeCell ref="A65:A66"/>
    <mergeCell ref="B65:B66"/>
    <mergeCell ref="C65:C66"/>
    <mergeCell ref="D65:D66"/>
    <mergeCell ref="A52:C52"/>
    <mergeCell ref="D52:F52"/>
    <mergeCell ref="A56:C56"/>
    <mergeCell ref="D56:F56"/>
    <mergeCell ref="D46:F46"/>
    <mergeCell ref="A50:F50"/>
    <mergeCell ref="A51:C51"/>
    <mergeCell ref="D51:F51"/>
    <mergeCell ref="BV43:CA43"/>
    <mergeCell ref="A43:C43"/>
    <mergeCell ref="D43:F43"/>
    <mergeCell ref="A32:F32"/>
    <mergeCell ref="D34:D35"/>
    <mergeCell ref="A36:A37"/>
    <mergeCell ref="D36:D37"/>
    <mergeCell ref="B33:C33"/>
    <mergeCell ref="A34:A35"/>
    <mergeCell ref="B34:B35"/>
    <mergeCell ref="I130:O131"/>
    <mergeCell ref="I118:O119"/>
    <mergeCell ref="C34:C35"/>
    <mergeCell ref="N136:N137"/>
    <mergeCell ref="A78:F78"/>
    <mergeCell ref="A42:F42"/>
    <mergeCell ref="A44:F44"/>
    <mergeCell ref="A45:C45"/>
    <mergeCell ref="D45:F45"/>
    <mergeCell ref="A46:C46"/>
    <mergeCell ref="C22:F22"/>
    <mergeCell ref="A30:F30"/>
    <mergeCell ref="Z45:AA45"/>
    <mergeCell ref="D3:F3"/>
    <mergeCell ref="D4:F4"/>
    <mergeCell ref="X45:Y46"/>
    <mergeCell ref="P45:Q46"/>
    <mergeCell ref="R45:S46"/>
    <mergeCell ref="T45:U46"/>
    <mergeCell ref="V45:W46"/>
    <mergeCell ref="B5:C5"/>
    <mergeCell ref="I192:I193"/>
    <mergeCell ref="J192:J193"/>
    <mergeCell ref="K192:K193"/>
    <mergeCell ref="I165:O165"/>
    <mergeCell ref="L188:M188"/>
    <mergeCell ref="I177:O177"/>
    <mergeCell ref="L189:M189"/>
    <mergeCell ref="D189:E189"/>
    <mergeCell ref="A160:G161"/>
    <mergeCell ref="AD19:AE20"/>
    <mergeCell ref="P19:Q20"/>
    <mergeCell ref="R19:S20"/>
    <mergeCell ref="T19:U20"/>
    <mergeCell ref="V19:W20"/>
    <mergeCell ref="X19:Y20"/>
    <mergeCell ref="Z19:AA20"/>
    <mergeCell ref="AB19:AC20"/>
    <mergeCell ref="I160:O161"/>
    <mergeCell ref="I184:O185"/>
    <mergeCell ref="I172:O173"/>
    <mergeCell ref="O188:O189"/>
    <mergeCell ref="D188:E188"/>
    <mergeCell ref="A188:A189"/>
    <mergeCell ref="I188:I189"/>
    <mergeCell ref="G188:G189"/>
    <mergeCell ref="A148:G149"/>
    <mergeCell ref="I148:O149"/>
    <mergeCell ref="I153:O153"/>
    <mergeCell ref="O134:O135"/>
    <mergeCell ref="I134:I135"/>
    <mergeCell ref="A153:G153"/>
    <mergeCell ref="I141:O141"/>
    <mergeCell ref="L134:M134"/>
    <mergeCell ref="L135:M135"/>
    <mergeCell ref="O136:O137"/>
  </mergeCells>
  <conditionalFormatting sqref="E24 X3">
    <cfRule type="cellIs" priority="1" dxfId="0" operator="equal" stopIfTrue="1">
      <formula>"&gt; 2 appl."</formula>
    </cfRule>
  </conditionalFormatting>
  <conditionalFormatting sqref="A19">
    <cfRule type="cellIs" priority="2" dxfId="0" operator="equal" stopIfTrue="1">
      <formula>"  Field crops not selected"</formula>
    </cfRule>
  </conditionalFormatting>
  <conditionalFormatting sqref="A20">
    <cfRule type="cellIs" priority="3" dxfId="0" operator="equal" stopIfTrue="1">
      <formula>"  High crops not selected"</formula>
    </cfRule>
  </conditionalFormatting>
  <conditionalFormatting sqref="A22">
    <cfRule type="cellIs" priority="4" dxfId="0" operator="equal" stopIfTrue="1">
      <formula>"  Home &amp; garden not selected"</formula>
    </cfRule>
  </conditionalFormatting>
  <conditionalFormatting sqref="A5">
    <cfRule type="cellIs" priority="5" dxfId="1" operator="equal" stopIfTrue="1">
      <formula>" Field crops not selected"</formula>
    </cfRule>
  </conditionalFormatting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rowBreaks count="2" manualBreakCount="2">
    <brk id="29" max="255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Institute for Risk Assessment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Safeguarding th Health of Bystander and Residents</dc:title>
  <dc:subject>Exposure assessment for plant protection products</dc:subject>
  <dc:creator>Sabine Martin</dc:creator>
  <cp:keywords/>
  <dc:description/>
  <cp:lastModifiedBy>Martin</cp:lastModifiedBy>
  <cp:lastPrinted>2010-11-03T09:02:37Z</cp:lastPrinted>
  <dcterms:created xsi:type="dcterms:W3CDTF">2008-10-15T08:24:45Z</dcterms:created>
  <dcterms:modified xsi:type="dcterms:W3CDTF">2012-02-17T06:39:37Z</dcterms:modified>
  <cp:category/>
  <cp:version/>
  <cp:contentType/>
  <cp:contentStatus/>
</cp:coreProperties>
</file>